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wagner/Dropbox/:barifoodcoach/:marketing/fcm site content/:recipes/"/>
    </mc:Choice>
  </mc:AlternateContent>
  <xr:revisionPtr revIDLastSave="0" documentId="13_ncr:1_{584B3A87-3F6D-944A-92CA-08BF60F9404D}" xr6:coauthVersionLast="45" xr6:coauthVersionMax="45" xr10:uidLastSave="{00000000-0000-0000-0000-000000000000}"/>
  <bookViews>
    <workbookView xWindow="16080" yWindow="4280" windowWidth="27640" windowHeight="16940" xr2:uid="{54CFC8EF-C602-C846-9BB2-D5ED7E16675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1" i="1" l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6" i="1"/>
  <c r="A525" i="1"/>
  <c r="A524" i="1"/>
  <c r="A523" i="1"/>
  <c r="A522" i="1"/>
  <c r="A520" i="1"/>
  <c r="A519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2" i="1"/>
  <c r="A491" i="1"/>
  <c r="A490" i="1"/>
  <c r="A489" i="1"/>
  <c r="A488" i="1"/>
  <c r="A487" i="1"/>
  <c r="A485" i="1"/>
  <c r="A484" i="1"/>
  <c r="A483" i="1"/>
  <c r="A482" i="1"/>
  <c r="A481" i="1"/>
  <c r="A480" i="1"/>
  <c r="A479" i="1"/>
  <c r="A478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8" i="1"/>
  <c r="A437" i="1"/>
  <c r="A436" i="1"/>
  <c r="A434" i="1"/>
  <c r="A433" i="1"/>
  <c r="A432" i="1"/>
  <c r="A431" i="1"/>
  <c r="A430" i="1"/>
  <c r="A429" i="1"/>
  <c r="A428" i="1"/>
  <c r="A427" i="1"/>
  <c r="A426" i="1"/>
  <c r="A425" i="1"/>
  <c r="A424" i="1"/>
  <c r="A422" i="1"/>
  <c r="A420" i="1"/>
  <c r="A419" i="1"/>
  <c r="A418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6" i="1"/>
  <c r="A285" i="1"/>
  <c r="A284" i="1"/>
  <c r="A283" i="1"/>
  <c r="A282" i="1"/>
  <c r="A281" i="1"/>
  <c r="A280" i="1"/>
  <c r="A278" i="1"/>
  <c r="A277" i="1"/>
  <c r="A276" i="1"/>
  <c r="A275" i="1"/>
  <c r="A274" i="1"/>
  <c r="A273" i="1"/>
  <c r="A270" i="1"/>
  <c r="A266" i="1"/>
  <c r="A258" i="1"/>
  <c r="A257" i="1"/>
  <c r="A256" i="1"/>
  <c r="A254" i="1"/>
  <c r="A253" i="1"/>
  <c r="A251" i="1"/>
  <c r="A250" i="1"/>
  <c r="A247" i="1"/>
  <c r="A246" i="1"/>
  <c r="A245" i="1"/>
  <c r="A244" i="1"/>
  <c r="A243" i="1"/>
  <c r="A242" i="1"/>
  <c r="A241" i="1"/>
  <c r="A240" i="1"/>
  <c r="A239" i="1"/>
  <c r="A238" i="1"/>
  <c r="A235" i="1"/>
  <c r="A234" i="1"/>
  <c r="A233" i="1"/>
  <c r="A232" i="1"/>
  <c r="A230" i="1"/>
  <c r="A229" i="1"/>
  <c r="A228" i="1"/>
  <c r="A227" i="1"/>
  <c r="A226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2" i="1"/>
  <c r="A201" i="1"/>
  <c r="A200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0" i="1"/>
  <c r="A149" i="1"/>
  <c r="A148" i="1"/>
  <c r="A147" i="1"/>
  <c r="A146" i="1"/>
  <c r="A145" i="1"/>
  <c r="A144" i="1"/>
  <c r="A143" i="1"/>
  <c r="A142" i="1"/>
  <c r="A141" i="1"/>
  <c r="A139" i="1"/>
  <c r="A138" i="1"/>
  <c r="A137" i="1"/>
  <c r="A136" i="1"/>
  <c r="A135" i="1"/>
  <c r="A134" i="1"/>
  <c r="A132" i="1"/>
  <c r="A130" i="1"/>
  <c r="A129" i="1"/>
  <c r="A128" i="1"/>
  <c r="A127" i="1"/>
  <c r="A126" i="1"/>
  <c r="A125" i="1"/>
  <c r="A124" i="1"/>
  <c r="A123" i="1"/>
  <c r="A122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3" i="1"/>
  <c r="A62" i="1"/>
  <c r="A61" i="1"/>
  <c r="A60" i="1"/>
  <c r="A59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5" i="1"/>
  <c r="A14" i="1"/>
  <c r="A13" i="1"/>
  <c r="A12" i="1"/>
  <c r="A5" i="1"/>
  <c r="A4" i="1"/>
  <c r="A3" i="1"/>
  <c r="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01" authorId="0" shapeId="0" xr:uid="{42AE949C-1906-D34B-8DAA-19D9E699B019}">
      <text>
        <r>
          <rPr>
            <sz val="10"/>
            <color rgb="FF000000"/>
            <rFont val="Arial"/>
            <family val="2"/>
          </rPr>
          <t>======
ID#AAAAEAOQb2k
Microsoft Office User    (2019-12-09 18:13:18)
HIGH traffic page, HIGH bounce rate</t>
        </r>
      </text>
    </comment>
  </commentList>
</comments>
</file>

<file path=xl/sharedStrings.xml><?xml version="1.0" encoding="utf-8"?>
<sst xmlns="http://schemas.openxmlformats.org/spreadsheetml/2006/main" count="2370" uniqueCount="160">
  <si>
    <t>Ingredient Category</t>
  </si>
  <si>
    <t>Cooking Method (OB = Oven Baked, ST = Stove Top, SC = Slow Cooker)</t>
  </si>
  <si>
    <t>Course</t>
  </si>
  <si>
    <t>Members Recipe</t>
  </si>
  <si>
    <t>Beef</t>
  </si>
  <si>
    <t>ST</t>
  </si>
  <si>
    <t>Entree</t>
  </si>
  <si>
    <t>no</t>
  </si>
  <si>
    <t>Side Dish Misc</t>
  </si>
  <si>
    <t>No Bake</t>
  </si>
  <si>
    <t>Appetizer</t>
  </si>
  <si>
    <t>Chicken</t>
  </si>
  <si>
    <t>OB</t>
  </si>
  <si>
    <t>Turkey</t>
  </si>
  <si>
    <t>yes</t>
  </si>
  <si>
    <t>A Low-Carber's Holiday Eggnog</t>
  </si>
  <si>
    <t>Drink</t>
  </si>
  <si>
    <t>Air Fryer Barbecue Meatballs</t>
  </si>
  <si>
    <t>Air Fryer</t>
  </si>
  <si>
    <t>entrée</t>
  </si>
  <si>
    <t>Air Fryer Salmon</t>
  </si>
  <si>
    <t>Fish</t>
  </si>
  <si>
    <t>Air Fryer Brussel Sprouts</t>
  </si>
  <si>
    <t>Veggies</t>
  </si>
  <si>
    <t>side</t>
  </si>
  <si>
    <t>Air Fryer Steak and Mushrooms</t>
  </si>
  <si>
    <t>Almond Crusted Pork Chops</t>
  </si>
  <si>
    <t>Pork</t>
  </si>
  <si>
    <t>Oven</t>
  </si>
  <si>
    <t>Entrée</t>
  </si>
  <si>
    <t>beef</t>
  </si>
  <si>
    <t>Grill</t>
  </si>
  <si>
    <t>drink</t>
  </si>
  <si>
    <t>Liquid</t>
  </si>
  <si>
    <t>Side</t>
  </si>
  <si>
    <t>Asian Chicken Thighs with Cauliflower Rice</t>
  </si>
  <si>
    <t>Asian Peanut Chicken Skewers</t>
  </si>
  <si>
    <t>Asian Shrimp Zucchini Pasta</t>
  </si>
  <si>
    <t>Shrimp</t>
  </si>
  <si>
    <t>Eggs</t>
  </si>
  <si>
    <t>St</t>
  </si>
  <si>
    <t>Breakfast</t>
  </si>
  <si>
    <t>Baked Blackened Chicken</t>
  </si>
  <si>
    <t>fish</t>
  </si>
  <si>
    <t>Sweets</t>
  </si>
  <si>
    <t>entree</t>
  </si>
  <si>
    <t>Barbecue Cheddar Meatballs</t>
  </si>
  <si>
    <t>IP</t>
  </si>
  <si>
    <t>chicken</t>
  </si>
  <si>
    <t>Barbecue Chicken Kebabs</t>
  </si>
  <si>
    <t>SC</t>
  </si>
  <si>
    <t>sweets</t>
  </si>
  <si>
    <t>Dessert</t>
  </si>
  <si>
    <t>drinks</t>
  </si>
  <si>
    <t>Soft</t>
  </si>
  <si>
    <t>veggies</t>
  </si>
  <si>
    <t>NC</t>
  </si>
  <si>
    <t>Beef and Ratatouille Skillet</t>
  </si>
  <si>
    <t>Beefy Chili Soup</t>
  </si>
  <si>
    <t>beans</t>
  </si>
  <si>
    <t>BLT Deviled Eggs - Bariatric Recipe</t>
  </si>
  <si>
    <t>pork</t>
  </si>
  <si>
    <t xml:space="preserve"> OB</t>
  </si>
  <si>
    <t>Caesar Grilled Pork Chops</t>
  </si>
  <si>
    <t>LIquid</t>
  </si>
  <si>
    <t>salmon</t>
  </si>
  <si>
    <t>Drinks</t>
  </si>
  <si>
    <t>Chicken Cacciatore</t>
  </si>
  <si>
    <t xml:space="preserve">IP </t>
  </si>
  <si>
    <t>Chicken Pot Pie Stew</t>
  </si>
  <si>
    <t>Chicken Sausage and Pineapple Skewers</t>
  </si>
  <si>
    <t>Chicken Zoodle Stew</t>
  </si>
  <si>
    <t>Steak</t>
  </si>
  <si>
    <t>dirnk</t>
  </si>
  <si>
    <t>Chopped Broccoli Kale Salad</t>
  </si>
  <si>
    <t>Lunch</t>
  </si>
  <si>
    <t>Dip</t>
  </si>
  <si>
    <t>ENtree</t>
  </si>
  <si>
    <t>Easy Sunday Onion Meatloaf</t>
  </si>
  <si>
    <t>Egg Roll Salad Jar</t>
  </si>
  <si>
    <t>eggs</t>
  </si>
  <si>
    <t>Greek Chicken Bari Bento Box</t>
  </si>
  <si>
    <t>Greek Steak Bowl</t>
  </si>
  <si>
    <t>yogurt</t>
  </si>
  <si>
    <t>Green Enchilada Pork Chili</t>
  </si>
  <si>
    <t>Instant Pot</t>
  </si>
  <si>
    <t>Green Enchiliada Pork Chili</t>
  </si>
  <si>
    <t>Grilled Vegetable Salad</t>
  </si>
  <si>
    <t>Hamburger cups</t>
  </si>
  <si>
    <t>Honey Mustard Pork Chops</t>
  </si>
  <si>
    <t>Hot Ham and Swiss Chicken</t>
  </si>
  <si>
    <t>Instant Pot Barbecue Chicken and Carrots</t>
  </si>
  <si>
    <t>Instant Pot Barbecue Shredded Pork</t>
  </si>
  <si>
    <t>Instant Pot Basic Chicken Breast Recipe - draft</t>
  </si>
  <si>
    <t>Instant Pot Boiled Eggs</t>
  </si>
  <si>
    <t>Egg</t>
  </si>
  <si>
    <t>Instant Pot Chicken Enchilada Stoup</t>
  </si>
  <si>
    <t>Instant Pot Classic Chili</t>
  </si>
  <si>
    <t>Instant Pot Classic Shredded Beef Roast and Carrots</t>
  </si>
  <si>
    <t>Instant Pot Pesto Chicken</t>
  </si>
  <si>
    <t>Instant Pot Pesto Pork Tenderloin</t>
  </si>
  <si>
    <t>Instant Pot Pork Tenderloin with Apples and Rosemary</t>
  </si>
  <si>
    <t>Instant Pot Taco Chicken</t>
  </si>
  <si>
    <t>Instant Pot Turkey Burgers</t>
  </si>
  <si>
    <t>turkey</t>
  </si>
  <si>
    <t>Italian Zucchini Stew</t>
  </si>
  <si>
    <t>Kickin Chipotle Beef Burgers</t>
  </si>
  <si>
    <t>misc</t>
  </si>
  <si>
    <t>Low Carb Dijon Shrimp Skillet</t>
  </si>
  <si>
    <t>Mexican Stuffed Peppers with Cauliflower Rice</t>
  </si>
  <si>
    <t>Oven Roasted Vegetables</t>
  </si>
  <si>
    <t>Ob</t>
  </si>
  <si>
    <t xml:space="preserve">Pork </t>
  </si>
  <si>
    <t>Protein Powder</t>
  </si>
  <si>
    <t>Queso Chicken Chili</t>
  </si>
  <si>
    <t>protein powder</t>
  </si>
  <si>
    <t>cauliflower</t>
  </si>
  <si>
    <t>Rosemary Tomato Beef Skillet</t>
  </si>
  <si>
    <t>Shredded Barbecue Chicken</t>
  </si>
  <si>
    <t>Shredded Mexican Beef</t>
  </si>
  <si>
    <t>Shrimp and Cauliflower Grits</t>
  </si>
  <si>
    <t>Stove Top</t>
  </si>
  <si>
    <t>Skillet Roasted Carrots</t>
  </si>
  <si>
    <t>Slow Cooker Beef Fajitas</t>
  </si>
  <si>
    <t xml:space="preserve">Eggs </t>
  </si>
  <si>
    <t>Stuffed Yellow Pepper Skillet</t>
  </si>
  <si>
    <t>Sunday's Beef "Stoup"</t>
  </si>
  <si>
    <t>Taco Salad in a Jar</t>
  </si>
  <si>
    <t>No bake</t>
  </si>
  <si>
    <t>Turkey Kielbasa with Sweet Bell Peppers Skillet</t>
  </si>
  <si>
    <t>Turkey Meatball Soup</t>
  </si>
  <si>
    <t>Turkey Sausage and Veggies Foil Pack</t>
  </si>
  <si>
    <t>Tuscan Roast and Carrots</t>
  </si>
  <si>
    <t>Zucchini Turkey Burgers</t>
  </si>
  <si>
    <t>Crockpot Classic Meatloaf</t>
  </si>
  <si>
    <t>Nacho Chicken Chili</t>
  </si>
  <si>
    <t>Turkey and Zucchini Stir Fry</t>
  </si>
  <si>
    <t>Bariatric Friendly "Crack" Chicken</t>
  </si>
  <si>
    <t>Pumpkin Pie Spice Coffee</t>
  </si>
  <si>
    <t>Harvest Chicken Stew</t>
  </si>
  <si>
    <t>Barbecue Beef Fajitas</t>
  </si>
  <si>
    <t>Turkey Pesto Meatballs and Zucchini Noodles</t>
  </si>
  <si>
    <t>Harvest Beef Stew</t>
  </si>
  <si>
    <t>Avocado Caprese Chicken Salad</t>
  </si>
  <si>
    <t>Almond Dijon Chicken Bake</t>
  </si>
  <si>
    <t>Chicken Parmesan Zucchini</t>
  </si>
  <si>
    <t>Sheet Pan Mini Meatloaves and Roasted Broccoli</t>
  </si>
  <si>
    <t>Sour Cream and Onion Burgers</t>
  </si>
  <si>
    <t>Split Chicken Breasts, Taco Chicken</t>
  </si>
  <si>
    <t xml:space="preserve">Grilled Balsamic Chicken </t>
  </si>
  <si>
    <t>Tex Mex Instant Pot Chicken</t>
  </si>
  <si>
    <t>Scrambled Eggs with Smoked Salmon and Asparagus</t>
  </si>
  <si>
    <t>Simple Pork Stir Fry</t>
  </si>
  <si>
    <t>No</t>
  </si>
  <si>
    <t>Quick Beef and Vegetable Stoup</t>
  </si>
  <si>
    <t>Entrree</t>
  </si>
  <si>
    <t>Turkey Broccoli and Cauliflower Rice Casserole</t>
  </si>
  <si>
    <t>Yes</t>
  </si>
  <si>
    <t>Cowboy Beef Stew</t>
  </si>
  <si>
    <t>Recipe Title and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</si>
</sst>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Times"/>
      <family val="1"/>
    </font>
    <font>
      <u/>
      <sz val="12"/>
      <color rgb="FF0000FF"/>
      <name val="Times"/>
      <family val="1"/>
    </font>
    <font>
      <sz val="12"/>
      <color theme="1"/>
      <name val="Times"/>
      <family val="1"/>
    </font>
    <font>
      <u/>
      <sz val="10"/>
      <color theme="10"/>
      <name val="Arial"/>
      <family val="2"/>
    </font>
    <font>
      <sz val="12"/>
      <color rgb="FF000000"/>
      <name val="Times"/>
      <family val="1"/>
    </font>
    <font>
      <u/>
      <sz val="12"/>
      <color theme="10"/>
      <name val="Times"/>
      <family val="1"/>
    </font>
    <font>
      <u/>
      <sz val="12"/>
      <color rgb="FF4472C4"/>
      <name val="Times"/>
      <family val="1"/>
    </font>
    <font>
      <i/>
      <u/>
      <sz val="10"/>
      <color theme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1" applyFill="1" applyBorder="1"/>
    <xf numFmtId="0" fontId="7" fillId="0" borderId="1" xfId="0" applyFont="1" applyFill="1" applyBorder="1"/>
    <xf numFmtId="0" fontId="8" fillId="0" borderId="1" xfId="0" applyFont="1" applyFill="1" applyBorder="1"/>
    <xf numFmtId="0" fontId="9" fillId="0" borderId="1" xfId="0" applyFont="1" applyFill="1" applyBorder="1"/>
    <xf numFmtId="0" fontId="5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oodcoach.me/recipe/instant-pot-pesto-chicken/" TargetMode="External"/><Relationship Id="rId21" Type="http://schemas.openxmlformats.org/officeDocument/2006/relationships/hyperlink" Target="https://www.foodcoach.me/recipe/green-enchilada-pork-chili/" TargetMode="External"/><Relationship Id="rId42" Type="http://schemas.openxmlformats.org/officeDocument/2006/relationships/hyperlink" Target="https://www.foodcoach.me/recipe/no-cook-meal-chicken-sausage-and-pineapple-skewers/" TargetMode="External"/><Relationship Id="rId47" Type="http://schemas.openxmlformats.org/officeDocument/2006/relationships/hyperlink" Target="https://www.foodcoach.me/egg-roll-salad-jars/" TargetMode="External"/><Relationship Id="rId63" Type="http://schemas.openxmlformats.org/officeDocument/2006/relationships/hyperlink" Target="https://www.bariatricfoodcoach.com/nacho-chicken-chili/" TargetMode="External"/><Relationship Id="rId68" Type="http://schemas.openxmlformats.org/officeDocument/2006/relationships/hyperlink" Target="https://www.bariatricfoodcoach.com/barbecue-beef-fajitas-2/" TargetMode="External"/><Relationship Id="rId84" Type="http://schemas.openxmlformats.org/officeDocument/2006/relationships/hyperlink" Target="https://www.bariatricfoodcoach.com/barbecue-chicken-kebabs/" TargetMode="External"/><Relationship Id="rId16" Type="http://schemas.openxmlformats.org/officeDocument/2006/relationships/hyperlink" Target="https://www.foodcoach.me/recipe/asian-chicken-thighs-with-cauliflower-rice/" TargetMode="External"/><Relationship Id="rId11" Type="http://schemas.openxmlformats.org/officeDocument/2006/relationships/hyperlink" Target="https://www.foodcoach.me/recipe/instant-pot-barbecue-shredded-pork/" TargetMode="External"/><Relationship Id="rId32" Type="http://schemas.openxmlformats.org/officeDocument/2006/relationships/hyperlink" Target="https://www.foodcoach.me/?p=37651&amp;preview=true&amp;preview_id=37651" TargetMode="External"/><Relationship Id="rId37" Type="http://schemas.openxmlformats.org/officeDocument/2006/relationships/hyperlink" Target="https://www.foodcoach.me/recipe/oven-roasted-vegetables-2/" TargetMode="External"/><Relationship Id="rId53" Type="http://schemas.openxmlformats.org/officeDocument/2006/relationships/hyperlink" Target="https://www.bariatricfoodcoach.com/honey-mustard-pork-chops-2/" TargetMode="External"/><Relationship Id="rId58" Type="http://schemas.openxmlformats.org/officeDocument/2006/relationships/hyperlink" Target="https://www.bariatricfoodcoach.com/slow-cooker-beef-fajitas/" TargetMode="External"/><Relationship Id="rId74" Type="http://schemas.openxmlformats.org/officeDocument/2006/relationships/hyperlink" Target="https://www.bariatricfoodcoach.com/recipe/cowboy-stew/" TargetMode="External"/><Relationship Id="rId79" Type="http://schemas.openxmlformats.org/officeDocument/2006/relationships/hyperlink" Target="https://www.bariatricfoodcoach.com/sour-cream-and-onion-burgers/" TargetMode="External"/><Relationship Id="rId5" Type="http://schemas.openxmlformats.org/officeDocument/2006/relationships/hyperlink" Target="https://www.foodcoach.me/recipe/kickin-chipotle-beef-burgers/" TargetMode="External"/><Relationship Id="rId19" Type="http://schemas.openxmlformats.org/officeDocument/2006/relationships/hyperlink" Target="https://www.foodcoach.me/chicken-zoodle-stew/" TargetMode="External"/><Relationship Id="rId14" Type="http://schemas.openxmlformats.org/officeDocument/2006/relationships/hyperlink" Target="https://www.foodcoach.me/recipe/almond-crusted-pork-chops/" TargetMode="External"/><Relationship Id="rId22" Type="http://schemas.openxmlformats.org/officeDocument/2006/relationships/hyperlink" Target="https://www.foodcoach.me/recipe/instant-pot-barbecue-chicken-and-carrots/" TargetMode="External"/><Relationship Id="rId27" Type="http://schemas.openxmlformats.org/officeDocument/2006/relationships/hyperlink" Target="https://www.foodcoach.me/recipe/instant-pot-pesto-pork-tenderloin/" TargetMode="External"/><Relationship Id="rId30" Type="http://schemas.openxmlformats.org/officeDocument/2006/relationships/hyperlink" Target="https://www.foodcoach.me/recipe/italian-zucchini-stew/" TargetMode="External"/><Relationship Id="rId35" Type="http://schemas.openxmlformats.org/officeDocument/2006/relationships/hyperlink" Target="https://www.foodcoach.me/recipe/tuscan-roast-and-carrots-instant-pot-or-slow-cooker/" TargetMode="External"/><Relationship Id="rId43" Type="http://schemas.openxmlformats.org/officeDocument/2006/relationships/hyperlink" Target="https://www.foodcoach.me/instant-pot-pork-tenderloin-with-apples-and-rosemary/" TargetMode="External"/><Relationship Id="rId48" Type="http://schemas.openxmlformats.org/officeDocument/2006/relationships/hyperlink" Target="https://www.foodcoach.me/turkey-kielbasa-and-sweet-peppers-skillet" TargetMode="External"/><Relationship Id="rId56" Type="http://schemas.openxmlformats.org/officeDocument/2006/relationships/hyperlink" Target="https://www.bariatricfoodcoach.com/greek-steak-bowl/" TargetMode="External"/><Relationship Id="rId64" Type="http://schemas.openxmlformats.org/officeDocument/2006/relationships/hyperlink" Target="https://www.bariatricfoodcoach.com/turkey-and-zucchini-stir-fry/" TargetMode="External"/><Relationship Id="rId69" Type="http://schemas.openxmlformats.org/officeDocument/2006/relationships/hyperlink" Target="https://www.bariatricfoodcoach.com/turkey-pesto-meatballs-and-zucchini-noodles/" TargetMode="External"/><Relationship Id="rId77" Type="http://schemas.openxmlformats.org/officeDocument/2006/relationships/hyperlink" Target="https://www.bariatricfoodcoach.com/chicken-parmesan-zucchini-boats/" TargetMode="External"/><Relationship Id="rId8" Type="http://schemas.openxmlformats.org/officeDocument/2006/relationships/hyperlink" Target="https://www.foodcoach.me/recipe/easy-sunday-onion-meatloaf/" TargetMode="External"/><Relationship Id="rId51" Type="http://schemas.openxmlformats.org/officeDocument/2006/relationships/hyperlink" Target="https://www.bariatricfoodcoach.com/air-fryer-brussels-sprouts-2/" TargetMode="External"/><Relationship Id="rId72" Type="http://schemas.openxmlformats.org/officeDocument/2006/relationships/hyperlink" Target="https://www.bariatricfoodcoach.com/quick-beef-and-vegetable-stoup/" TargetMode="External"/><Relationship Id="rId80" Type="http://schemas.openxmlformats.org/officeDocument/2006/relationships/hyperlink" Target="https://www.bariatricfoodcoach.com/split-chicken-breasts-taco-chicken/" TargetMode="External"/><Relationship Id="rId85" Type="http://schemas.openxmlformats.org/officeDocument/2006/relationships/vmlDrawing" Target="../drawings/vmlDrawing1.vml"/><Relationship Id="rId3" Type="http://schemas.openxmlformats.org/officeDocument/2006/relationships/hyperlink" Target="https://www.foodcoach.me/recipe/caesar-grilled-pork-chops/" TargetMode="External"/><Relationship Id="rId12" Type="http://schemas.openxmlformats.org/officeDocument/2006/relationships/hyperlink" Target="https://www.foodcoach.me/recipe/mexican-stuffed-peppers-with-cauliflower-rice/" TargetMode="External"/><Relationship Id="rId17" Type="http://schemas.openxmlformats.org/officeDocument/2006/relationships/hyperlink" Target="https://www.foodcoach.me/recipe/asian-shrimp-zucchini-pasta/" TargetMode="External"/><Relationship Id="rId25" Type="http://schemas.openxmlformats.org/officeDocument/2006/relationships/hyperlink" Target="https://www.foodcoach.me/recipe/instant-pot-classic-shredded-beef-roast/" TargetMode="External"/><Relationship Id="rId33" Type="http://schemas.openxmlformats.org/officeDocument/2006/relationships/hyperlink" Target="https://www.foodcoach.me/recipe/sundays-beef-stoup/" TargetMode="External"/><Relationship Id="rId38" Type="http://schemas.openxmlformats.org/officeDocument/2006/relationships/hyperlink" Target="https://www.foodcoach.me/recipe/grilled-vegetable-salad/" TargetMode="External"/><Relationship Id="rId46" Type="http://schemas.openxmlformats.org/officeDocument/2006/relationships/hyperlink" Target="https://www.foodcoach.me/stuffed-yellow-pepper-skillet/" TargetMode="External"/><Relationship Id="rId59" Type="http://schemas.openxmlformats.org/officeDocument/2006/relationships/hyperlink" Target="https://www.bariatricfoodcoach.com/shredded-barbecue-chicken/" TargetMode="External"/><Relationship Id="rId67" Type="http://schemas.openxmlformats.org/officeDocument/2006/relationships/hyperlink" Target="https://www.bariatricfoodcoach.com/harvest-chicken-stew-2/" TargetMode="External"/><Relationship Id="rId20" Type="http://schemas.openxmlformats.org/officeDocument/2006/relationships/hyperlink" Target="https://www.foodcoach.me/recipe/chopped-broccoli-kale-salad/" TargetMode="External"/><Relationship Id="rId41" Type="http://schemas.openxmlformats.org/officeDocument/2006/relationships/hyperlink" Target="https://www.foodcoach.me/turkey-sausage-and-veggies-packet/" TargetMode="External"/><Relationship Id="rId54" Type="http://schemas.openxmlformats.org/officeDocument/2006/relationships/hyperlink" Target="https://www.bariatricfoodcoach.com/skillet-roasted-carrots-2/" TargetMode="External"/><Relationship Id="rId62" Type="http://schemas.openxmlformats.org/officeDocument/2006/relationships/hyperlink" Target="https://www.bariatricfoodcoach.com/crockpot-classic-meatloaf/" TargetMode="External"/><Relationship Id="rId70" Type="http://schemas.openxmlformats.org/officeDocument/2006/relationships/hyperlink" Target="https://www.bariatricfoodcoach.com/harvest-beef-stew/" TargetMode="External"/><Relationship Id="rId75" Type="http://schemas.openxmlformats.org/officeDocument/2006/relationships/hyperlink" Target="https://www.bariatricfoodcoach.com/simple-pork-stir-fry/" TargetMode="External"/><Relationship Id="rId83" Type="http://schemas.openxmlformats.org/officeDocument/2006/relationships/hyperlink" Target="https://www.bariatricfoodcoach.com/scrambled-eggs-with-smoked-salmon-and-asparagus/" TargetMode="External"/><Relationship Id="rId1" Type="http://schemas.openxmlformats.org/officeDocument/2006/relationships/hyperlink" Target="https://www.foodcoach.me/recipe/asian-peanut-chicken-skewers/" TargetMode="External"/><Relationship Id="rId6" Type="http://schemas.openxmlformats.org/officeDocument/2006/relationships/hyperlink" Target="https://www.foodcoach.me/recipe/beefy-chili-stoup/" TargetMode="External"/><Relationship Id="rId15" Type="http://schemas.openxmlformats.org/officeDocument/2006/relationships/hyperlink" Target="https://www.foodcoach.me/low-cal-holiday-almost-eggnog/" TargetMode="External"/><Relationship Id="rId23" Type="http://schemas.openxmlformats.org/officeDocument/2006/relationships/hyperlink" Target="https://www.foodcoach.me/wp-admin/post.php?post=37602&amp;action=edit" TargetMode="External"/><Relationship Id="rId28" Type="http://schemas.openxmlformats.org/officeDocument/2006/relationships/hyperlink" Target="https://www.foodcoach.me/recipe/instant-pot-taco-chicken/" TargetMode="External"/><Relationship Id="rId36" Type="http://schemas.openxmlformats.org/officeDocument/2006/relationships/hyperlink" Target="https://www.foodcoach.me/recipe/zucchini-turkey-burgers/" TargetMode="External"/><Relationship Id="rId49" Type="http://schemas.openxmlformats.org/officeDocument/2006/relationships/hyperlink" Target="https://www.foodcoach.me/chicken-pot-pie-stew-2" TargetMode="External"/><Relationship Id="rId57" Type="http://schemas.openxmlformats.org/officeDocument/2006/relationships/hyperlink" Target="https://www.bariatricfoodcoach.com/baked-blackened-chicken/" TargetMode="External"/><Relationship Id="rId10" Type="http://schemas.openxmlformats.org/officeDocument/2006/relationships/hyperlink" Target="https://www.foodcoach.me/recipe/ham-and-swiss-chicken-with-mushrooms-and-tomatoes/" TargetMode="External"/><Relationship Id="rId31" Type="http://schemas.openxmlformats.org/officeDocument/2006/relationships/hyperlink" Target="https://www.foodcoach.me/recipe/low-carb-dijon-shrimp-skillet/" TargetMode="External"/><Relationship Id="rId44" Type="http://schemas.openxmlformats.org/officeDocument/2006/relationships/hyperlink" Target="https://www.foodcoach.me/instant-pot-chicken-enchilada/" TargetMode="External"/><Relationship Id="rId52" Type="http://schemas.openxmlformats.org/officeDocument/2006/relationships/hyperlink" Target="https://www.bariatricfoodcoach.com/air-fryer-steak-and-mushrooms/" TargetMode="External"/><Relationship Id="rId60" Type="http://schemas.openxmlformats.org/officeDocument/2006/relationships/hyperlink" Target="https://www.bariatricfoodcoach.com/barbecue-chicken-kebabs/" TargetMode="External"/><Relationship Id="rId65" Type="http://schemas.openxmlformats.org/officeDocument/2006/relationships/hyperlink" Target="https://www.bariatricfoodcoach.com/bariatric-friendly-crack-chicken/" TargetMode="External"/><Relationship Id="rId73" Type="http://schemas.openxmlformats.org/officeDocument/2006/relationships/hyperlink" Target="https://www.bariatricfoodcoach.com/turkey-broccoli-and-cauliflower-rice-casserole/" TargetMode="External"/><Relationship Id="rId78" Type="http://schemas.openxmlformats.org/officeDocument/2006/relationships/hyperlink" Target="https://www.bariatricfoodcoach.com/sheet-pan-mini-meatloaves-and-roasted-broccoli/" TargetMode="External"/><Relationship Id="rId81" Type="http://schemas.openxmlformats.org/officeDocument/2006/relationships/hyperlink" Target="https://www.bariatricfoodcoach.com/grilled-balsamic-chicken/" TargetMode="External"/><Relationship Id="rId86" Type="http://schemas.openxmlformats.org/officeDocument/2006/relationships/comments" Target="../comments1.xml"/><Relationship Id="rId4" Type="http://schemas.openxmlformats.org/officeDocument/2006/relationships/hyperlink" Target="https://www.foodcoach.me/recipe/greek-chicken-bari-bento-box/" TargetMode="External"/><Relationship Id="rId9" Type="http://schemas.openxmlformats.org/officeDocument/2006/relationships/hyperlink" Target="https://www.foodcoach.me/recipe/green-enchilada-pork-chili/" TargetMode="External"/><Relationship Id="rId13" Type="http://schemas.openxmlformats.org/officeDocument/2006/relationships/hyperlink" Target="https://www.foodcoach.me/recipe/rosemary-tomato-beef-skillet/" TargetMode="External"/><Relationship Id="rId18" Type="http://schemas.openxmlformats.org/officeDocument/2006/relationships/hyperlink" Target="https://www.foodcoach.me/recipe/barbecue-cheddar-meatballs/" TargetMode="External"/><Relationship Id="rId39" Type="http://schemas.openxmlformats.org/officeDocument/2006/relationships/hyperlink" Target="https://www.foodcoach.me/?post_type=recipe&amp;p=62141" TargetMode="External"/><Relationship Id="rId34" Type="http://schemas.openxmlformats.org/officeDocument/2006/relationships/hyperlink" Target="https://www.foodcoach.me/recipe/taco-salad-in-a-jar/" TargetMode="External"/><Relationship Id="rId50" Type="http://schemas.openxmlformats.org/officeDocument/2006/relationships/hyperlink" Target="https://www.bariatricfoodcoach.com/turkey-meatball-soup-3/" TargetMode="External"/><Relationship Id="rId55" Type="http://schemas.openxmlformats.org/officeDocument/2006/relationships/hyperlink" Target="https://www.bariatricfoodcoach.com/queso-chicken-chili-2/" TargetMode="External"/><Relationship Id="rId76" Type="http://schemas.openxmlformats.org/officeDocument/2006/relationships/hyperlink" Target="https://www.bariatricfoodcoach.com/almond-dijon-chicken-bake-3/" TargetMode="External"/><Relationship Id="rId7" Type="http://schemas.openxmlformats.org/officeDocument/2006/relationships/hyperlink" Target="https://www.foodcoach.me/recipe/chicken-cacciatore/" TargetMode="External"/><Relationship Id="rId71" Type="http://schemas.openxmlformats.org/officeDocument/2006/relationships/hyperlink" Target="https://www.bariatricfoodcoach.com/avocado-caprese-chicken-salad/" TargetMode="External"/><Relationship Id="rId2" Type="http://schemas.openxmlformats.org/officeDocument/2006/relationships/hyperlink" Target="https://www.foodcoach.me/recipe/beef-and-ratatouille-skillet/" TargetMode="External"/><Relationship Id="rId29" Type="http://schemas.openxmlformats.org/officeDocument/2006/relationships/hyperlink" Target="https://www.foodcoach.me/recipe/instant-pot-turkey-burger/" TargetMode="External"/><Relationship Id="rId24" Type="http://schemas.openxmlformats.org/officeDocument/2006/relationships/hyperlink" Target="https://www.foodcoach.me/recipe/instant-pot-classic-chili/" TargetMode="External"/><Relationship Id="rId40" Type="http://schemas.openxmlformats.org/officeDocument/2006/relationships/hyperlink" Target="https://www.foodcoach.me/?post_type=recipe&amp;p=62447" TargetMode="External"/><Relationship Id="rId45" Type="http://schemas.openxmlformats.org/officeDocument/2006/relationships/hyperlink" Target="https://www.foodcoach.me/shrimp-and-cauliflower-grits-2/" TargetMode="External"/><Relationship Id="rId66" Type="http://schemas.openxmlformats.org/officeDocument/2006/relationships/hyperlink" Target="https://www.bariatricfoodcoach.com/pumpkin-pie-spice-coffee/" TargetMode="External"/><Relationship Id="rId61" Type="http://schemas.openxmlformats.org/officeDocument/2006/relationships/hyperlink" Target="https://www.foodcoach.me/recipe/instant-pot-boiled-eggs/" TargetMode="External"/><Relationship Id="rId82" Type="http://schemas.openxmlformats.org/officeDocument/2006/relationships/hyperlink" Target="https://www.bariatricfoodcoach.com/tex-mex-instant-pot-chicken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A4E26-F32C-BF4E-B97C-B984C87A0A4F}">
  <dimension ref="A1:E574"/>
  <sheetViews>
    <sheetView tabSelected="1" topLeftCell="A548" workbookViewId="0">
      <selection activeCell="A572" sqref="A572"/>
    </sheetView>
  </sheetViews>
  <sheetFormatPr baseColWidth="10" defaultRowHeight="16"/>
  <cols>
    <col min="1" max="1" width="83.6640625" style="2" customWidth="1"/>
    <col min="2" max="2" width="30.83203125" style="2" customWidth="1"/>
    <col min="3" max="3" width="38.33203125" style="2" customWidth="1"/>
    <col min="4" max="4" width="25.1640625" style="2" customWidth="1"/>
    <col min="5" max="5" width="19" style="2" customWidth="1"/>
    <col min="6" max="16384" width="10.83203125" style="2"/>
  </cols>
  <sheetData>
    <row r="1" spans="1:5" ht="100" customHeight="1">
      <c r="A1" s="1" t="s">
        <v>159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>
      <c r="A2" s="3" t="str">
        <f>HYPERLINK("https://www.foodcoach.me/recipe/20-minute-taco-chili/","20 Minute Taco Chili")</f>
        <v>20 Minute Taco Chili</v>
      </c>
      <c r="B2" s="4" t="s">
        <v>4</v>
      </c>
      <c r="C2" s="4" t="s">
        <v>5</v>
      </c>
      <c r="D2" s="4" t="s">
        <v>6</v>
      </c>
      <c r="E2" s="4" t="s">
        <v>7</v>
      </c>
    </row>
    <row r="3" spans="1:5">
      <c r="A3" s="3" t="str">
        <f>HYPERLINK("https://www.foodcoach.me/recipe/3-ingredient-appetizers-feta-stuffed-watermelon-blocks/","3 Ingredient Appetizers - Feta Stuffed Watermelon Blocks")</f>
        <v>3 Ingredient Appetizers - Feta Stuffed Watermelon Blocks</v>
      </c>
      <c r="B3" s="4" t="s">
        <v>8</v>
      </c>
      <c r="C3" s="4" t="s">
        <v>9</v>
      </c>
      <c r="D3" s="4" t="s">
        <v>10</v>
      </c>
      <c r="E3" s="4" t="s">
        <v>7</v>
      </c>
    </row>
    <row r="4" spans="1:5">
      <c r="A4" s="3" t="str">
        <f>HYPERLINK("https://www.foodcoach.me/recipe/4-ingredient-pesto-chicken-bake-wls-recipes/","4 Ingredient Pesto Chicken Bake - WLS Recipes")</f>
        <v>4 Ingredient Pesto Chicken Bake - WLS Recipes</v>
      </c>
      <c r="B4" s="4" t="s">
        <v>11</v>
      </c>
      <c r="C4" s="4" t="s">
        <v>12</v>
      </c>
      <c r="D4" s="4" t="s">
        <v>6</v>
      </c>
      <c r="E4" s="4" t="s">
        <v>7</v>
      </c>
    </row>
    <row r="5" spans="1:5">
      <c r="A5" s="3" t="str">
        <f>HYPERLINK("https://www.foodcoach.me/recipe/5-minute-zucchini-meatballs/","5 Minute Zucchini &amp; Meatballs")</f>
        <v>5 Minute Zucchini &amp; Meatballs</v>
      </c>
      <c r="B5" s="4" t="s">
        <v>13</v>
      </c>
      <c r="C5" s="4" t="s">
        <v>9</v>
      </c>
      <c r="D5" s="4" t="s">
        <v>6</v>
      </c>
      <c r="E5" s="4" t="s">
        <v>14</v>
      </c>
    </row>
    <row r="6" spans="1:5">
      <c r="A6" s="5" t="s">
        <v>15</v>
      </c>
      <c r="B6" s="6" t="s">
        <v>16</v>
      </c>
      <c r="C6" s="6" t="s">
        <v>9</v>
      </c>
      <c r="D6" s="6" t="s">
        <v>16</v>
      </c>
      <c r="E6" s="6" t="s">
        <v>7</v>
      </c>
    </row>
    <row r="7" spans="1:5">
      <c r="A7" s="7" t="s">
        <v>17</v>
      </c>
      <c r="B7" s="6" t="s">
        <v>4</v>
      </c>
      <c r="C7" s="6" t="s">
        <v>18</v>
      </c>
      <c r="D7" s="6" t="s">
        <v>19</v>
      </c>
      <c r="E7" s="6" t="s">
        <v>7</v>
      </c>
    </row>
    <row r="8" spans="1:5">
      <c r="A8" s="7" t="s">
        <v>20</v>
      </c>
      <c r="B8" s="6" t="s">
        <v>21</v>
      </c>
      <c r="C8" s="6" t="s">
        <v>18</v>
      </c>
      <c r="D8" s="6" t="s">
        <v>19</v>
      </c>
      <c r="E8" s="6" t="s">
        <v>14</v>
      </c>
    </row>
    <row r="9" spans="1:5">
      <c r="A9" s="8" t="s">
        <v>22</v>
      </c>
      <c r="B9" s="6" t="s">
        <v>23</v>
      </c>
      <c r="C9" s="6" t="s">
        <v>18</v>
      </c>
      <c r="D9" s="6" t="s">
        <v>24</v>
      </c>
      <c r="E9" s="6" t="s">
        <v>7</v>
      </c>
    </row>
    <row r="10" spans="1:5">
      <c r="A10" s="8" t="s">
        <v>25</v>
      </c>
      <c r="B10" s="6" t="s">
        <v>4</v>
      </c>
      <c r="C10" s="6" t="s">
        <v>18</v>
      </c>
      <c r="D10" s="6" t="s">
        <v>19</v>
      </c>
      <c r="E10" s="6" t="s">
        <v>7</v>
      </c>
    </row>
    <row r="11" spans="1:5">
      <c r="A11" s="7" t="s">
        <v>26</v>
      </c>
      <c r="B11" s="6" t="s">
        <v>27</v>
      </c>
      <c r="C11" s="6" t="s">
        <v>28</v>
      </c>
      <c r="D11" s="6" t="s">
        <v>29</v>
      </c>
      <c r="E11" s="6" t="s">
        <v>7</v>
      </c>
    </row>
    <row r="12" spans="1:5">
      <c r="A12" s="3" t="str">
        <f>HYPERLINK("https://www.foodcoach.me/recipe/aloha-hawaiian-burger-weight-loss-surgery-recipe/","Aloha Hawaiian Burger - Weight Loss Surgery Recipe")</f>
        <v>Aloha Hawaiian Burger - Weight Loss Surgery Recipe</v>
      </c>
      <c r="B12" s="4" t="s">
        <v>30</v>
      </c>
      <c r="C12" s="4" t="s">
        <v>31</v>
      </c>
      <c r="D12" s="4" t="s">
        <v>6</v>
      </c>
      <c r="E12" s="4" t="s">
        <v>14</v>
      </c>
    </row>
    <row r="13" spans="1:5">
      <c r="A13" s="3" t="str">
        <f>HYPERLINK("https://www.foodcoach.me/recipe/aromatics-infused-chicken-broth/","Aromatics Infused Chicken Broth")</f>
        <v>Aromatics Infused Chicken Broth</v>
      </c>
      <c r="B13" s="4" t="s">
        <v>32</v>
      </c>
      <c r="C13" s="4" t="s">
        <v>5</v>
      </c>
      <c r="D13" s="4" t="s">
        <v>33</v>
      </c>
      <c r="E13" s="4" t="s">
        <v>7</v>
      </c>
    </row>
    <row r="14" spans="1:5">
      <c r="A14" s="3" t="str">
        <f>HYPERLINK("https://www.foodcoach.me/recipe/arugala-salad-with-pears-gruyere-cheese-pumpkin-seeds/","Arugala Salad with Pears, Gruyere Cheese &amp; Pumpkin Seeds")</f>
        <v>Arugala Salad with Pears, Gruyere Cheese &amp; Pumpkin Seeds</v>
      </c>
      <c r="B14" s="4" t="s">
        <v>23</v>
      </c>
      <c r="C14" s="4" t="s">
        <v>9</v>
      </c>
      <c r="D14" s="4" t="s">
        <v>34</v>
      </c>
      <c r="E14" s="4" t="s">
        <v>7</v>
      </c>
    </row>
    <row r="15" spans="1:5">
      <c r="A15" s="3" t="str">
        <f>HYPERLINK("https://www.foodcoach.me/recipe/asian-chicken-bowl/","Asian Chicken Bowl")</f>
        <v>Asian Chicken Bowl</v>
      </c>
      <c r="B15" s="4" t="s">
        <v>11</v>
      </c>
      <c r="C15" s="4" t="s">
        <v>5</v>
      </c>
      <c r="D15" s="4" t="s">
        <v>6</v>
      </c>
      <c r="E15" s="4" t="s">
        <v>7</v>
      </c>
    </row>
    <row r="16" spans="1:5">
      <c r="A16" s="7" t="s">
        <v>35</v>
      </c>
      <c r="B16" s="6" t="s">
        <v>11</v>
      </c>
      <c r="C16" s="6" t="s">
        <v>12</v>
      </c>
      <c r="D16" s="6" t="s">
        <v>29</v>
      </c>
      <c r="E16" s="6" t="s">
        <v>7</v>
      </c>
    </row>
    <row r="17" spans="1:5">
      <c r="A17" s="7" t="s">
        <v>36</v>
      </c>
      <c r="B17" s="6" t="s">
        <v>11</v>
      </c>
      <c r="C17" s="6" t="s">
        <v>31</v>
      </c>
      <c r="D17" s="6" t="s">
        <v>29</v>
      </c>
      <c r="E17" s="6" t="s">
        <v>14</v>
      </c>
    </row>
    <row r="18" spans="1:5">
      <c r="A18" s="7" t="s">
        <v>37</v>
      </c>
      <c r="B18" s="6" t="s">
        <v>38</v>
      </c>
      <c r="C18" s="6" t="s">
        <v>5</v>
      </c>
      <c r="D18" s="6" t="s">
        <v>29</v>
      </c>
      <c r="E18" s="6" t="s">
        <v>7</v>
      </c>
    </row>
    <row r="19" spans="1:5">
      <c r="A19" s="3" t="str">
        <f>HYPERLINK("https://www.foodcoach.me/recipe/asparagus-salad-with-roast-chicken/","Asparagus Salad with Roast Chicken")</f>
        <v>Asparagus Salad with Roast Chicken</v>
      </c>
      <c r="B19" s="4" t="s">
        <v>11</v>
      </c>
      <c r="C19" s="4" t="s">
        <v>9</v>
      </c>
      <c r="D19" s="4" t="s">
        <v>6</v>
      </c>
      <c r="E19" s="4" t="s">
        <v>14</v>
      </c>
    </row>
    <row r="20" spans="1:5">
      <c r="A20" s="3" t="str">
        <f>HYPERLINK("https://www.foodcoach.me/recipe/avocado-chicken-salad/","Avocado Chicken Salad - Bariatric Recipes")</f>
        <v>Avocado Chicken Salad - Bariatric Recipes</v>
      </c>
      <c r="B20" s="4" t="s">
        <v>11</v>
      </c>
      <c r="C20" s="4" t="s">
        <v>9</v>
      </c>
      <c r="D20" s="4" t="s">
        <v>6</v>
      </c>
      <c r="E20" s="4" t="s">
        <v>7</v>
      </c>
    </row>
    <row r="21" spans="1:5">
      <c r="A21" s="3" t="str">
        <f>HYPERLINK("https://www.foodcoach.me/recipe/baby-carrots-toasted-walnuts/","Baby Carrots with Toasted Walnuts")</f>
        <v>Baby Carrots with Toasted Walnuts</v>
      </c>
      <c r="B21" s="4" t="s">
        <v>23</v>
      </c>
      <c r="C21" s="4" t="s">
        <v>5</v>
      </c>
      <c r="D21" s="4" t="s">
        <v>34</v>
      </c>
      <c r="E21" s="4" t="s">
        <v>7</v>
      </c>
    </row>
    <row r="22" spans="1:5">
      <c r="A22" s="3" t="str">
        <f>HYPERLINK("https://www.foodcoach.me/recipe/bacon-veggie-frittata/","Bacon &amp; Veggie Frittata - WLS Recipes")</f>
        <v>Bacon &amp; Veggie Frittata - WLS Recipes</v>
      </c>
      <c r="B22" s="4" t="s">
        <v>39</v>
      </c>
      <c r="C22" s="4" t="s">
        <v>40</v>
      </c>
      <c r="D22" s="4" t="s">
        <v>41</v>
      </c>
      <c r="E22" s="4" t="s">
        <v>7</v>
      </c>
    </row>
    <row r="23" spans="1:5">
      <c r="A23" s="3" t="str">
        <f>HYPERLINK("https://www.foodcoach.me/recipe/turkey-bacon-spinach-sliders-wls-burger/","Bacon Spinach Sliders - WLS Burger")</f>
        <v>Bacon Spinach Sliders - WLS Burger</v>
      </c>
      <c r="B23" s="4" t="s">
        <v>4</v>
      </c>
      <c r="C23" s="4" t="s">
        <v>31</v>
      </c>
      <c r="D23" s="4" t="s">
        <v>6</v>
      </c>
      <c r="E23" s="4" t="s">
        <v>7</v>
      </c>
    </row>
    <row r="24" spans="1:5">
      <c r="A24" s="3" t="str">
        <f>HYPERLINK("https://www.foodcoach.me/recipe/bacon-wrapped-brussels-sprouts/","Bacon Wrapped Brussels Sprouts")</f>
        <v>Bacon Wrapped Brussels Sprouts</v>
      </c>
      <c r="B24" s="4" t="s">
        <v>23</v>
      </c>
      <c r="C24" s="4" t="s">
        <v>12</v>
      </c>
      <c r="D24" s="4" t="s">
        <v>34</v>
      </c>
      <c r="E24" s="4" t="s">
        <v>7</v>
      </c>
    </row>
    <row r="25" spans="1:5">
      <c r="A25" s="3" t="str">
        <f>HYPERLINK("https://www.foodcoach.me/recipe/bacon-wrapped-honey-mustard-bites/","Bacon Wrapped Honey Mustard Bites")</f>
        <v>Bacon Wrapped Honey Mustard Bites</v>
      </c>
      <c r="B25" s="4" t="s">
        <v>11</v>
      </c>
      <c r="C25" s="4" t="s">
        <v>12</v>
      </c>
      <c r="D25" s="4" t="s">
        <v>10</v>
      </c>
      <c r="E25" s="4" t="s">
        <v>7</v>
      </c>
    </row>
    <row r="26" spans="1:5">
      <c r="A26" s="3" t="str">
        <f>HYPERLINK("https://www.foodcoach.me/recipe/bacon-wrapped-ranch-chicken/","Bacon Wrapped Ranch Chicken - WLS Recipes")</f>
        <v>Bacon Wrapped Ranch Chicken - WLS Recipes</v>
      </c>
      <c r="B26" s="4" t="s">
        <v>11</v>
      </c>
      <c r="C26" s="4" t="s">
        <v>12</v>
      </c>
      <c r="D26" s="4" t="s">
        <v>6</v>
      </c>
      <c r="E26" s="4" t="s">
        <v>7</v>
      </c>
    </row>
    <row r="27" spans="1:5">
      <c r="A27" s="8" t="s">
        <v>42</v>
      </c>
      <c r="B27" s="4" t="s">
        <v>11</v>
      </c>
      <c r="C27" s="4" t="s">
        <v>12</v>
      </c>
      <c r="D27" s="4" t="s">
        <v>19</v>
      </c>
      <c r="E27" s="4" t="s">
        <v>14</v>
      </c>
    </row>
    <row r="28" spans="1:5">
      <c r="A28" s="3" t="str">
        <f>HYPERLINK("https://www.foodcoach.me/recipe/baked-chicken-caesar-slaw/","Baked Chicken with Caesar Slaw")</f>
        <v>Baked Chicken with Caesar Slaw</v>
      </c>
      <c r="B28" s="4" t="s">
        <v>11</v>
      </c>
      <c r="C28" s="4" t="s">
        <v>12</v>
      </c>
      <c r="D28" s="4" t="s">
        <v>6</v>
      </c>
      <c r="E28" s="4" t="s">
        <v>14</v>
      </c>
    </row>
    <row r="29" spans="1:5">
      <c r="A29" s="3" t="str">
        <f>HYPERLINK("https://www.foodcoach.me/recipe/baked-chicken-creamy-peach-sauce/","Baked Chicken with Creamy Peach Sauce")</f>
        <v>Baked Chicken with Creamy Peach Sauce</v>
      </c>
      <c r="B29" s="4" t="s">
        <v>11</v>
      </c>
      <c r="C29" s="4" t="s">
        <v>12</v>
      </c>
      <c r="D29" s="4" t="s">
        <v>6</v>
      </c>
      <c r="E29" s="4" t="s">
        <v>7</v>
      </c>
    </row>
    <row r="30" spans="1:5">
      <c r="A30" s="3" t="str">
        <f>HYPERLINK("https://www.foodcoach.me/recipe/baked-pork-apples/","Baked Pork with Apples")</f>
        <v>Baked Pork with Apples</v>
      </c>
      <c r="B30" s="4" t="s">
        <v>27</v>
      </c>
      <c r="C30" s="4" t="s">
        <v>12</v>
      </c>
      <c r="D30" s="4" t="s">
        <v>6</v>
      </c>
      <c r="E30" s="4" t="s">
        <v>14</v>
      </c>
    </row>
    <row r="31" spans="1:5">
      <c r="A31" s="3" t="str">
        <f>HYPERLINK("https://www.foodcoach.me/recipe/baked-salmon-cakes/","Baked Salmon Cakes")</f>
        <v>Baked Salmon Cakes</v>
      </c>
      <c r="B31" s="4" t="s">
        <v>43</v>
      </c>
      <c r="C31" s="4" t="s">
        <v>12</v>
      </c>
      <c r="D31" s="4" t="s">
        <v>6</v>
      </c>
      <c r="E31" s="4" t="s">
        <v>7</v>
      </c>
    </row>
    <row r="32" spans="1:5">
      <c r="A32" s="3" t="str">
        <f>HYPERLINK("https://www.foodcoach.me/recipe/baked-swiss-chicken-bake-eat-twice/","Baked Swiss Chicken **Bake Once, Eat Twice**")</f>
        <v>Baked Swiss Chicken **Bake Once, Eat Twice**</v>
      </c>
      <c r="B32" s="4" t="s">
        <v>11</v>
      </c>
      <c r="C32" s="4" t="s">
        <v>12</v>
      </c>
      <c r="D32" s="4" t="s">
        <v>6</v>
      </c>
      <c r="E32" s="4" t="s">
        <v>7</v>
      </c>
    </row>
    <row r="33" spans="1:5">
      <c r="A33" s="3" t="str">
        <f>HYPERLINK("https://www.foodcoach.me/recipe/balsamic-chicken-summer-squash-salad/","Balsamic Chicken &amp; Summer Squash Salad")</f>
        <v>Balsamic Chicken &amp; Summer Squash Salad</v>
      </c>
      <c r="B33" s="4" t="s">
        <v>11</v>
      </c>
      <c r="C33" s="4" t="s">
        <v>5</v>
      </c>
      <c r="D33" s="4" t="s">
        <v>6</v>
      </c>
      <c r="E33" s="4" t="s">
        <v>7</v>
      </c>
    </row>
    <row r="34" spans="1:5">
      <c r="A34" s="3" t="str">
        <f>HYPERLINK("https://www.foodcoach.me/recipe/banana-cream-protein-shake/","Banana Cream Protein Shake")</f>
        <v>Banana Cream Protein Shake</v>
      </c>
      <c r="B34" s="4" t="s">
        <v>32</v>
      </c>
      <c r="C34" s="4" t="s">
        <v>9</v>
      </c>
      <c r="D34" s="4" t="s">
        <v>33</v>
      </c>
      <c r="E34" s="4" t="s">
        <v>7</v>
      </c>
    </row>
    <row r="35" spans="1:5">
      <c r="A35" s="3" t="str">
        <f>HYPERLINK("https://www.foodcoach.me/recipe/banana-muffin-in-a-mug-bariatric-sweet-treat/","Banana Muffin in a Mug - Bariatric Sweet Treat")</f>
        <v>Banana Muffin in a Mug - Bariatric Sweet Treat</v>
      </c>
      <c r="B35" s="4" t="s">
        <v>44</v>
      </c>
      <c r="C35" s="4" t="s">
        <v>9</v>
      </c>
      <c r="D35" s="4" t="s">
        <v>41</v>
      </c>
      <c r="E35" s="4" t="s">
        <v>14</v>
      </c>
    </row>
    <row r="36" spans="1:5">
      <c r="A36" s="3" t="str">
        <f>HYPERLINK("https://www.foodcoach.me/recipe/banana-nut-protein-pancakes/","Banana Nut Protein Pancakes - WLS Breakfast Recipe")</f>
        <v>Banana Nut Protein Pancakes - WLS Breakfast Recipe</v>
      </c>
      <c r="B36" s="4" t="s">
        <v>44</v>
      </c>
      <c r="C36" s="4" t="s">
        <v>5</v>
      </c>
      <c r="D36" s="4" t="s">
        <v>41</v>
      </c>
      <c r="E36" s="4" t="s">
        <v>14</v>
      </c>
    </row>
    <row r="37" spans="1:5">
      <c r="A37" s="3" t="str">
        <f>HYPERLINK("https://www.foodcoach.me/recipe/barbecue-beef-broccoli-bowl/","Barbecue Beef and Broccoli Bowl")</f>
        <v>Barbecue Beef and Broccoli Bowl</v>
      </c>
      <c r="B37" s="4" t="s">
        <v>30</v>
      </c>
      <c r="C37" s="4" t="s">
        <v>5</v>
      </c>
      <c r="D37" s="4" t="s">
        <v>45</v>
      </c>
      <c r="E37" s="4" t="s">
        <v>7</v>
      </c>
    </row>
    <row r="38" spans="1:5">
      <c r="A38" s="7" t="s">
        <v>46</v>
      </c>
      <c r="B38" s="6" t="s">
        <v>4</v>
      </c>
      <c r="C38" s="6" t="s">
        <v>47</v>
      </c>
      <c r="D38" s="6" t="s">
        <v>29</v>
      </c>
      <c r="E38" s="6" t="s">
        <v>7</v>
      </c>
    </row>
    <row r="39" spans="1:5">
      <c r="A39" s="3" t="str">
        <f>HYPERLINK("https://www.foodcoach.me/recipe/barbecue-chicken-veggies-foil-pack/","Barbecue Chicken and Veggies Foil Pack")</f>
        <v>Barbecue Chicken and Veggies Foil Pack</v>
      </c>
      <c r="B39" s="4" t="s">
        <v>48</v>
      </c>
      <c r="C39" s="4" t="s">
        <v>31</v>
      </c>
      <c r="D39" s="4" t="s">
        <v>6</v>
      </c>
      <c r="E39" s="4" t="s">
        <v>7</v>
      </c>
    </row>
    <row r="40" spans="1:5">
      <c r="A40" s="3" t="str">
        <f>HYPERLINK("https://www.foodcoach.me/recipe/barbecue-chicken-salad/","Barbecue Chicken Salad - Bariatric Recipes")</f>
        <v>Barbecue Chicken Salad - Bariatric Recipes</v>
      </c>
      <c r="B40" s="4" t="s">
        <v>11</v>
      </c>
      <c r="C40" s="4" t="s">
        <v>12</v>
      </c>
      <c r="D40" s="4" t="s">
        <v>6</v>
      </c>
      <c r="E40" s="4" t="s">
        <v>7</v>
      </c>
    </row>
    <row r="41" spans="1:5">
      <c r="A41" s="8" t="s">
        <v>49</v>
      </c>
      <c r="B41" s="4" t="s">
        <v>11</v>
      </c>
      <c r="C41" s="4" t="s">
        <v>31</v>
      </c>
      <c r="D41" s="4" t="s">
        <v>19</v>
      </c>
      <c r="E41" s="4" t="s">
        <v>14</v>
      </c>
    </row>
    <row r="42" spans="1:5">
      <c r="A42" s="3" t="str">
        <f>HYPERLINK("https://www.foodcoach.me/recipe/barbecue-pork-tenderloin-parmesan-roasted-carrots/","Barbecue Pork Tenderloin &amp; Parmesan Roasted Carrots")</f>
        <v>Barbecue Pork Tenderloin &amp; Parmesan Roasted Carrots</v>
      </c>
      <c r="B42" s="4" t="s">
        <v>27</v>
      </c>
      <c r="C42" s="4" t="s">
        <v>12</v>
      </c>
      <c r="D42" s="4" t="s">
        <v>6</v>
      </c>
      <c r="E42" s="4" t="s">
        <v>7</v>
      </c>
    </row>
    <row r="43" spans="1:5">
      <c r="A43" s="3" t="str">
        <f>HYPERLINK("https://www.foodcoach.me/recipe/barbecue-salmon/","Barbecue Salmon - Bariatric Friendly 2 Ingredient Meal")</f>
        <v>Barbecue Salmon - Bariatric Friendly 2 Ingredient Meal</v>
      </c>
      <c r="B43" s="4" t="s">
        <v>21</v>
      </c>
      <c r="C43" s="4" t="s">
        <v>5</v>
      </c>
      <c r="D43" s="4" t="s">
        <v>6</v>
      </c>
      <c r="E43" s="4" t="s">
        <v>7</v>
      </c>
    </row>
    <row r="44" spans="1:5">
      <c r="A44" s="3" t="str">
        <f>HYPERLINK("https://www.foodcoach.me/recipe/barbecue-turkey-chili/","Barbecue Turkey Chili")</f>
        <v>Barbecue Turkey Chili</v>
      </c>
      <c r="B44" s="4" t="s">
        <v>13</v>
      </c>
      <c r="C44" s="4" t="s">
        <v>50</v>
      </c>
      <c r="D44" s="4" t="s">
        <v>6</v>
      </c>
      <c r="E44" s="4" t="s">
        <v>14</v>
      </c>
    </row>
    <row r="45" spans="1:5">
      <c r="A45" s="3" t="str">
        <f>HYPERLINK("https://www.foodcoach.me/recipe/bariatric-friendly-chocolate-covered-strawberries/","Bariatric Friendly Chocolate Covered Strawberries")</f>
        <v>Bariatric Friendly Chocolate Covered Strawberries</v>
      </c>
      <c r="B45" s="4" t="s">
        <v>51</v>
      </c>
      <c r="C45" s="4" t="s">
        <v>9</v>
      </c>
      <c r="D45" s="4" t="s">
        <v>52</v>
      </c>
      <c r="E45" s="4" t="s">
        <v>14</v>
      </c>
    </row>
    <row r="46" spans="1:5">
      <c r="A46" s="3" t="str">
        <f>HYPERLINK("https://www.foodcoach.me/recipe/bariatric-friendly-creamy-hot-cocoa/","Bariatric Friendly Creamy Hot Cocoa")</f>
        <v>Bariatric Friendly Creamy Hot Cocoa</v>
      </c>
      <c r="B46" s="4" t="s">
        <v>53</v>
      </c>
      <c r="C46" s="4" t="s">
        <v>9</v>
      </c>
      <c r="D46" s="4" t="s">
        <v>33</v>
      </c>
      <c r="E46" s="4" t="s">
        <v>14</v>
      </c>
    </row>
    <row r="47" spans="1:5">
      <c r="A47" s="3" t="str">
        <f>HYPERLINK("https://www.foodcoach.me/recipe/bariatric-friendly-gumbo-rice-free/","Bariatric Friendly Gumbo! (Rice Free)")</f>
        <v>Bariatric Friendly Gumbo! (Rice Free)</v>
      </c>
      <c r="B47" s="4" t="s">
        <v>21</v>
      </c>
      <c r="C47" s="4" t="s">
        <v>5</v>
      </c>
      <c r="D47" s="4" t="s">
        <v>6</v>
      </c>
      <c r="E47" s="4" t="s">
        <v>7</v>
      </c>
    </row>
    <row r="48" spans="1:5">
      <c r="A48" s="3" t="str">
        <f>HYPERLINK("https://www.foodcoach.me/recipe/bariatric-friendly-pumpkin-spice-latte/","Bariatric Friendly Pumpkin Spice Latte *Video*")</f>
        <v>Bariatric Friendly Pumpkin Spice Latte *Video*</v>
      </c>
      <c r="B48" s="4" t="s">
        <v>16</v>
      </c>
      <c r="C48" s="4" t="s">
        <v>5</v>
      </c>
      <c r="D48" s="4" t="s">
        <v>33</v>
      </c>
      <c r="E48" s="4" t="s">
        <v>14</v>
      </c>
    </row>
    <row r="49" spans="1:5">
      <c r="A49" s="3" t="str">
        <f>HYPERLINK("https://www.foodcoach.me/recipe/bariatric-mocha-latte/","Bariatric Mocha Latte")</f>
        <v>Bariatric Mocha Latte</v>
      </c>
      <c r="B49" s="4" t="s">
        <v>32</v>
      </c>
      <c r="C49" s="4" t="s">
        <v>9</v>
      </c>
      <c r="D49" s="4" t="s">
        <v>33</v>
      </c>
      <c r="E49" s="4" t="s">
        <v>14</v>
      </c>
    </row>
    <row r="50" spans="1:5">
      <c r="A50" s="3" t="str">
        <f>HYPERLINK("https://www.foodcoach.me/recipe/simple-grilled-pork-medallions/","Bariatric Sized Grilled Pork Medallions")</f>
        <v>Bariatric Sized Grilled Pork Medallions</v>
      </c>
      <c r="B50" s="4" t="s">
        <v>27</v>
      </c>
      <c r="C50" s="4" t="s">
        <v>5</v>
      </c>
      <c r="D50" s="4" t="s">
        <v>6</v>
      </c>
      <c r="E50" s="4" t="s">
        <v>7</v>
      </c>
    </row>
    <row r="51" spans="1:5">
      <c r="A51" s="3" t="str">
        <f>HYPERLINK("https://www.foodcoach.me/recipe/enchilada-eggs/","Bariatric Soft Diet - Enchilada Eggs")</f>
        <v>Bariatric Soft Diet - Enchilada Eggs</v>
      </c>
      <c r="B51" s="4" t="s">
        <v>39</v>
      </c>
      <c r="C51" s="4" t="s">
        <v>5</v>
      </c>
      <c r="D51" s="4" t="s">
        <v>54</v>
      </c>
      <c r="E51" s="4" t="s">
        <v>7</v>
      </c>
    </row>
    <row r="52" spans="1:5">
      <c r="A52" s="3" t="str">
        <f>HYPERLINK("https://www.foodcoach.me/recipe/basil-and-garlic-grilled-chicken-postop-wls-recipe/","Basil and Garlic Grilled Chicken")</f>
        <v>Basil and Garlic Grilled Chicken</v>
      </c>
      <c r="B52" s="4" t="s">
        <v>11</v>
      </c>
      <c r="C52" s="4" t="s">
        <v>31</v>
      </c>
      <c r="D52" s="4" t="s">
        <v>6</v>
      </c>
      <c r="E52" s="4" t="s">
        <v>7</v>
      </c>
    </row>
    <row r="53" spans="1:5">
      <c r="A53" s="3" t="str">
        <f>HYPERLINK("https://www.foodcoach.me/recipe/basil-lemonade/","Basil Lemonade")</f>
        <v>Basil Lemonade</v>
      </c>
      <c r="B53" s="4" t="s">
        <v>32</v>
      </c>
      <c r="C53" s="4" t="s">
        <v>9</v>
      </c>
      <c r="D53" s="4" t="s">
        <v>33</v>
      </c>
      <c r="E53" s="4" t="s">
        <v>14</v>
      </c>
    </row>
    <row r="54" spans="1:5">
      <c r="A54" s="3" t="str">
        <f>HYPERLINK("https://www.foodcoach.me/recipe/basil-tomato-tossed-side-salad/","Basil Tomato Tossed Side Salad")</f>
        <v>Basil Tomato Tossed Side Salad</v>
      </c>
      <c r="B54" s="4" t="s">
        <v>55</v>
      </c>
      <c r="C54" s="4" t="s">
        <v>56</v>
      </c>
      <c r="D54" s="4" t="s">
        <v>34</v>
      </c>
      <c r="E54" s="4" t="s">
        <v>7</v>
      </c>
    </row>
    <row r="55" spans="1:5">
      <c r="A55" s="3" t="str">
        <f>HYPERLINK("https://www.foodcoach.me/recipe/bbq-mustard-meatballs-fast-wls-dinner/","BBQ Mustard Meatballs - Fast WLS Dinner")</f>
        <v>BBQ Mustard Meatballs - Fast WLS Dinner</v>
      </c>
      <c r="B55" s="4" t="s">
        <v>13</v>
      </c>
      <c r="C55" s="4" t="s">
        <v>12</v>
      </c>
      <c r="D55" s="4" t="s">
        <v>6</v>
      </c>
      <c r="E55" s="4" t="s">
        <v>7</v>
      </c>
    </row>
    <row r="56" spans="1:5">
      <c r="A56" s="3" t="str">
        <f>HYPERLINK("https://www.foodcoach.me/recipe/bbq-pineapple-chicken-foil-pack/","BBQ Pineapple Chicken Foil Pack")</f>
        <v>BBQ Pineapple Chicken Foil Pack</v>
      </c>
      <c r="B56" s="4" t="s">
        <v>11</v>
      </c>
      <c r="C56" s="4" t="s">
        <v>31</v>
      </c>
      <c r="D56" s="4" t="s">
        <v>6</v>
      </c>
      <c r="E56" s="4" t="s">
        <v>7</v>
      </c>
    </row>
    <row r="57" spans="1:5">
      <c r="A57" s="7" t="s">
        <v>57</v>
      </c>
      <c r="B57" s="6" t="s">
        <v>4</v>
      </c>
      <c r="C57" s="6" t="s">
        <v>5</v>
      </c>
      <c r="D57" s="6" t="s">
        <v>29</v>
      </c>
      <c r="E57" s="6" t="s">
        <v>14</v>
      </c>
    </row>
    <row r="58" spans="1:5">
      <c r="A58" s="7" t="s">
        <v>58</v>
      </c>
      <c r="B58" s="6" t="s">
        <v>4</v>
      </c>
      <c r="C58" s="6" t="s">
        <v>5</v>
      </c>
      <c r="D58" s="6" t="s">
        <v>29</v>
      </c>
      <c r="E58" s="6" t="s">
        <v>7</v>
      </c>
    </row>
    <row r="59" spans="1:5">
      <c r="A59" s="3" t="str">
        <f>HYPERLINK("https://www.foodcoach.me/recipe/berry-cream-protein-shake/","Berry Cream Protein Shake")</f>
        <v>Berry Cream Protein Shake</v>
      </c>
      <c r="B59" s="4" t="s">
        <v>32</v>
      </c>
      <c r="C59" s="4" t="s">
        <v>9</v>
      </c>
      <c r="D59" s="4" t="s">
        <v>33</v>
      </c>
      <c r="E59" s="4" t="s">
        <v>14</v>
      </c>
    </row>
    <row r="60" spans="1:5">
      <c r="A60" s="3" t="str">
        <f>HYPERLINK("https://www.foodcoach.me/recipe/black-bean-and-lime-puree-bariatric-pureed-diet/","Black Bean and Lime Puree - Bariatric Pureed Diet")</f>
        <v>Black Bean and Lime Puree - Bariatric Pureed Diet</v>
      </c>
      <c r="B60" s="4" t="s">
        <v>59</v>
      </c>
      <c r="C60" s="4" t="s">
        <v>5</v>
      </c>
      <c r="D60" s="4" t="s">
        <v>54</v>
      </c>
      <c r="E60" s="4" t="s">
        <v>7</v>
      </c>
    </row>
    <row r="61" spans="1:5">
      <c r="A61" s="3" t="str">
        <f>HYPERLINK("https://www.foodcoach.me/recipe/black-bean-beef-burger/","Black Bean Beef Burger")</f>
        <v>Black Bean Beef Burger</v>
      </c>
      <c r="B61" s="4" t="s">
        <v>30</v>
      </c>
      <c r="C61" s="4" t="s">
        <v>31</v>
      </c>
      <c r="D61" s="4" t="s">
        <v>6</v>
      </c>
      <c r="E61" s="4" t="s">
        <v>7</v>
      </c>
    </row>
    <row r="62" spans="1:5">
      <c r="A62" s="3" t="str">
        <f>HYPERLINK("https://www.foodcoach.me/recipe/black-raspberry-lemonade/","Black Raspberry Lemonade - Bariatric Mocktail")</f>
        <v>Black Raspberry Lemonade - Bariatric Mocktail</v>
      </c>
      <c r="B62" s="4" t="s">
        <v>16</v>
      </c>
      <c r="C62" s="4" t="s">
        <v>9</v>
      </c>
      <c r="D62" s="4" t="s">
        <v>33</v>
      </c>
      <c r="E62" s="4" t="s">
        <v>14</v>
      </c>
    </row>
    <row r="63" spans="1:5">
      <c r="A63" s="3" t="str">
        <f>HYPERLINK("https://www.foodcoach.me/recipe/blt-chicken-salad/","BLT Chicken Salad")</f>
        <v>BLT Chicken Salad</v>
      </c>
      <c r="B63" s="4" t="s">
        <v>11</v>
      </c>
      <c r="C63" s="4" t="s">
        <v>9</v>
      </c>
      <c r="D63" s="4" t="s">
        <v>6</v>
      </c>
      <c r="E63" s="4" t="s">
        <v>14</v>
      </c>
    </row>
    <row r="64" spans="1:5">
      <c r="A64" s="3" t="s">
        <v>60</v>
      </c>
      <c r="B64" s="4" t="s">
        <v>39</v>
      </c>
      <c r="C64" s="4" t="s">
        <v>12</v>
      </c>
      <c r="D64" s="4" t="s">
        <v>10</v>
      </c>
      <c r="E64" s="4" t="s">
        <v>7</v>
      </c>
    </row>
    <row r="65" spans="1:5">
      <c r="A65" s="3" t="str">
        <f>HYPERLINK("https://www.foodcoach.me/recipe/blue-cheese-mini-meatloaf/","Blue Cheese Mini Meatloaf")</f>
        <v>Blue Cheese Mini Meatloaf</v>
      </c>
      <c r="B65" s="4" t="s">
        <v>4</v>
      </c>
      <c r="C65" s="4" t="s">
        <v>12</v>
      </c>
      <c r="D65" s="4" t="s">
        <v>6</v>
      </c>
      <c r="E65" s="4" t="s">
        <v>7</v>
      </c>
    </row>
    <row r="66" spans="1:5">
      <c r="A66" s="3" t="str">
        <f>HYPERLINK("https://www.foodcoach.me/recipe/blue-cheese-stuffed-burgers/","Blue Cheese Stuffed Burgers")</f>
        <v>Blue Cheese Stuffed Burgers</v>
      </c>
      <c r="B66" s="4" t="s">
        <v>30</v>
      </c>
      <c r="C66" s="4" t="s">
        <v>31</v>
      </c>
      <c r="D66" s="4" t="s">
        <v>6</v>
      </c>
      <c r="E66" s="4" t="s">
        <v>14</v>
      </c>
    </row>
    <row r="67" spans="1:5">
      <c r="A67" s="3" t="str">
        <f>HYPERLINK("https://www.foodcoach.me/recipe/blueberry-feta-and-pepita-side-salad/","Blueberry, Feta and Pepita Side Salad")</f>
        <v>Blueberry, Feta and Pepita Side Salad</v>
      </c>
      <c r="B67" s="4" t="s">
        <v>23</v>
      </c>
      <c r="C67" s="4" t="s">
        <v>9</v>
      </c>
      <c r="D67" s="4" t="s">
        <v>34</v>
      </c>
      <c r="E67" s="4" t="s">
        <v>7</v>
      </c>
    </row>
    <row r="68" spans="1:5">
      <c r="A68" s="3" t="str">
        <f>HYPERLINK("https://www.foodcoach.me/recipe/bread-free-chicken-nuggets/","Bread-Free Chicken Nuggets")</f>
        <v>Bread-Free Chicken Nuggets</v>
      </c>
      <c r="B68" s="4" t="s">
        <v>11</v>
      </c>
      <c r="C68" s="4" t="s">
        <v>12</v>
      </c>
      <c r="D68" s="4" t="s">
        <v>6</v>
      </c>
      <c r="E68" s="4" t="s">
        <v>7</v>
      </c>
    </row>
    <row r="69" spans="1:5">
      <c r="A69" s="3" t="str">
        <f>HYPERLINK("https://www.foodcoach.me/recipe/broccoli-cheddar-baked-fritters/","Broccoli &amp; Cheddar Baked Fritters")</f>
        <v>Broccoli &amp; Cheddar Baked Fritters</v>
      </c>
      <c r="B69" s="4" t="s">
        <v>23</v>
      </c>
      <c r="C69" s="4" t="s">
        <v>12</v>
      </c>
      <c r="D69" s="4" t="s">
        <v>34</v>
      </c>
      <c r="E69" s="4" t="s">
        <v>7</v>
      </c>
    </row>
    <row r="70" spans="1:5">
      <c r="A70" s="3" t="str">
        <f>HYPERLINK("https://www.foodcoach.me/recipe/broccoli-and-cauliflower-casserole/","Broccoli and Cauliflower Casserole")</f>
        <v>Broccoli and Cauliflower Casserole</v>
      </c>
      <c r="B70" s="4" t="s">
        <v>23</v>
      </c>
      <c r="C70" s="4" t="s">
        <v>12</v>
      </c>
      <c r="D70" s="4" t="s">
        <v>34</v>
      </c>
      <c r="E70" s="4" t="s">
        <v>7</v>
      </c>
    </row>
    <row r="71" spans="1:5">
      <c r="A71" s="3" t="str">
        <f>HYPERLINK("https://www.foodcoach.me/recipe/broccoli-and-cheese-stuffed-chicken/","Broccoli and Cheese Stuffed Chicken")</f>
        <v>Broccoli and Cheese Stuffed Chicken</v>
      </c>
      <c r="B71" s="4" t="s">
        <v>11</v>
      </c>
      <c r="C71" s="4" t="s">
        <v>12</v>
      </c>
      <c r="D71" s="4" t="s">
        <v>6</v>
      </c>
      <c r="E71" s="4" t="s">
        <v>7</v>
      </c>
    </row>
    <row r="72" spans="1:5">
      <c r="A72" s="3" t="str">
        <f>HYPERLINK("https://www.foodcoach.me/recipe/broccoli-slaw/","Broccoli Slaw - Weight Loss Surgery Recipe")</f>
        <v>Broccoli Slaw - Weight Loss Surgery Recipe</v>
      </c>
      <c r="B72" s="4" t="s">
        <v>23</v>
      </c>
      <c r="C72" s="4" t="s">
        <v>9</v>
      </c>
      <c r="D72" s="4" t="s">
        <v>34</v>
      </c>
      <c r="E72" s="4" t="s">
        <v>7</v>
      </c>
    </row>
    <row r="73" spans="1:5">
      <c r="A73" s="3" t="str">
        <f>HYPERLINK("https://www.foodcoach.me/recipe/broccoli-tomato-frittata/","Broccoli Tomato Frittata")</f>
        <v>Broccoli Tomato Frittata</v>
      </c>
      <c r="B73" s="4" t="s">
        <v>39</v>
      </c>
      <c r="C73" s="4" t="s">
        <v>12</v>
      </c>
      <c r="D73" s="4" t="s">
        <v>41</v>
      </c>
      <c r="E73" s="4" t="s">
        <v>7</v>
      </c>
    </row>
    <row r="74" spans="1:5">
      <c r="A74" s="3" t="str">
        <f>HYPERLINK("https://www.foodcoach.me/recipe/bruschetta-pork-chops/","Bruschetta Baked Pork Chops - Bariatric Recipe")</f>
        <v>Bruschetta Baked Pork Chops - Bariatric Recipe</v>
      </c>
      <c r="B74" s="4" t="s">
        <v>27</v>
      </c>
      <c r="C74" s="4" t="s">
        <v>12</v>
      </c>
      <c r="D74" s="4" t="s">
        <v>6</v>
      </c>
      <c r="E74" s="4" t="s">
        <v>14</v>
      </c>
    </row>
    <row r="75" spans="1:5">
      <c r="A75" s="3" t="str">
        <f>HYPERLINK("https://www.foodcoach.me/recipe/bruschetta-n-cheese-chicken-bake/","Bruschetta N Cheese Chicken Bake - WLS Recipes")</f>
        <v>Bruschetta N Cheese Chicken Bake - WLS Recipes</v>
      </c>
      <c r="B75" s="4" t="s">
        <v>11</v>
      </c>
      <c r="C75" s="4" t="s">
        <v>12</v>
      </c>
      <c r="D75" s="4" t="s">
        <v>6</v>
      </c>
      <c r="E75" s="4" t="s">
        <v>7</v>
      </c>
    </row>
    <row r="76" spans="1:5">
      <c r="A76" s="3" t="str">
        <f>HYPERLINK("https://www.foodcoach.me/recipe/bruschetta-topped-grilled-steaks/","Bruschetta Topped Grilled Steaks")</f>
        <v>Bruschetta Topped Grilled Steaks</v>
      </c>
      <c r="B76" s="4" t="s">
        <v>4</v>
      </c>
      <c r="C76" s="4" t="s">
        <v>31</v>
      </c>
      <c r="D76" s="4" t="s">
        <v>6</v>
      </c>
      <c r="E76" s="4" t="s">
        <v>7</v>
      </c>
    </row>
    <row r="77" spans="1:5">
      <c r="A77" s="3" t="str">
        <f>HYPERLINK("https://www.foodcoach.me/recipe/buffalo-chicken-bake/","Buffalo Chicken Bake - Bariatric Recipes")</f>
        <v>Buffalo Chicken Bake - Bariatric Recipes</v>
      </c>
      <c r="B77" s="4" t="s">
        <v>11</v>
      </c>
      <c r="C77" s="4" t="s">
        <v>12</v>
      </c>
      <c r="D77" s="4" t="s">
        <v>6</v>
      </c>
      <c r="E77" s="4" t="s">
        <v>14</v>
      </c>
    </row>
    <row r="78" spans="1:5">
      <c r="A78" s="3" t="str">
        <f>HYPERLINK("https://www.foodcoach.me/recipe/buffalo-chicken-meatballs-crockpot-recipe/","Buffalo Chicken Meatballs (Crockpot® Recipe)")</f>
        <v>Buffalo Chicken Meatballs (Crockpot® Recipe)</v>
      </c>
      <c r="B78" s="4" t="s">
        <v>11</v>
      </c>
      <c r="C78" s="4" t="s">
        <v>50</v>
      </c>
      <c r="D78" s="4" t="s">
        <v>6</v>
      </c>
      <c r="E78" s="4" t="s">
        <v>7</v>
      </c>
    </row>
    <row r="79" spans="1:5">
      <c r="A79" s="3" t="str">
        <f>HYPERLINK("https://www.foodcoach.me/recipe/buffalo-chicken-salad-wls-recipe/","Buffalo Chicken Salad - WLS Recipe")</f>
        <v>Buffalo Chicken Salad - WLS Recipe</v>
      </c>
      <c r="B79" s="4" t="s">
        <v>11</v>
      </c>
      <c r="C79" s="4" t="s">
        <v>9</v>
      </c>
      <c r="D79" s="4" t="s">
        <v>6</v>
      </c>
      <c r="E79" s="4" t="s">
        <v>7</v>
      </c>
    </row>
    <row r="80" spans="1:5">
      <c r="A80" s="3" t="str">
        <f>HYPERLINK("https://www.foodcoach.me/recipe/buffalo-chicken-skillet/","Buffalo Chicken Skillet")</f>
        <v>Buffalo Chicken Skillet</v>
      </c>
      <c r="B80" s="4" t="s">
        <v>11</v>
      </c>
      <c r="C80" s="4" t="s">
        <v>5</v>
      </c>
      <c r="D80" s="4" t="s">
        <v>6</v>
      </c>
      <c r="E80" s="4" t="s">
        <v>7</v>
      </c>
    </row>
    <row r="81" spans="1:5">
      <c r="A81" s="3" t="str">
        <f>HYPERLINK("https://www.foodcoach.me/recipe/buffalo-chicken-zucchini-casserole/","Buffalo Chicken Zucchini Casserole - Bariatric Recipes")</f>
        <v>Buffalo Chicken Zucchini Casserole - Bariatric Recipes</v>
      </c>
      <c r="B81" s="4" t="s">
        <v>11</v>
      </c>
      <c r="C81" s="4" t="s">
        <v>12</v>
      </c>
      <c r="D81" s="4" t="s">
        <v>6</v>
      </c>
      <c r="E81" s="4" t="s">
        <v>14</v>
      </c>
    </row>
    <row r="82" spans="1:5">
      <c r="A82" s="3" t="str">
        <f>HYPERLINK("https://www.foodcoach.me/recipe/buffalo-pork-chop/","Buffalo Pork Chop")</f>
        <v>Buffalo Pork Chop</v>
      </c>
      <c r="B82" s="4" t="s">
        <v>61</v>
      </c>
      <c r="C82" s="4" t="s">
        <v>12</v>
      </c>
      <c r="D82" s="4" t="s">
        <v>6</v>
      </c>
      <c r="E82" s="4" t="s">
        <v>14</v>
      </c>
    </row>
    <row r="83" spans="1:5">
      <c r="A83" s="3" t="str">
        <f>HYPERLINK("https://www.foodcoach.me/recipe/buffalo-turkey-burger/","Buffalo Turkey Burger - Bariatric Recipes")</f>
        <v>Buffalo Turkey Burger - Bariatric Recipes</v>
      </c>
      <c r="B83" s="4" t="s">
        <v>13</v>
      </c>
      <c r="C83" s="4" t="s">
        <v>12</v>
      </c>
      <c r="D83" s="4" t="s">
        <v>6</v>
      </c>
      <c r="E83" s="4" t="s">
        <v>14</v>
      </c>
    </row>
    <row r="84" spans="1:5">
      <c r="A84" s="3" t="str">
        <f>HYPERLINK("https://www.foodcoach.me/recipe/buffalo-turkey-stuffed-bell-peppers/","Buffalo Turkey Stuffed Bell Peppers")</f>
        <v>Buffalo Turkey Stuffed Bell Peppers</v>
      </c>
      <c r="B84" s="4" t="s">
        <v>13</v>
      </c>
      <c r="C84" s="4" t="s">
        <v>12</v>
      </c>
      <c r="D84" s="4" t="s">
        <v>6</v>
      </c>
      <c r="E84" s="4" t="s">
        <v>14</v>
      </c>
    </row>
    <row r="85" spans="1:5">
      <c r="A85" s="3" t="str">
        <f>HYPERLINK("https://www.foodcoach.me/recipe/bun-less-cowboy-burger/","Bun-less Cowboy Burger - WLS Recipes")</f>
        <v>Bun-less Cowboy Burger - WLS Recipes</v>
      </c>
      <c r="B85" s="4" t="s">
        <v>4</v>
      </c>
      <c r="C85" s="4" t="s">
        <v>31</v>
      </c>
      <c r="D85" s="4" t="s">
        <v>6</v>
      </c>
      <c r="E85" s="4" t="s">
        <v>14</v>
      </c>
    </row>
    <row r="86" spans="1:5">
      <c r="A86" s="3" t="str">
        <f>HYPERLINK("https://www.foodcoach.me/recipe/buttermilk-chicken-with-chopped-salad/","Buttermilk Chicken with Chopped Salad")</f>
        <v>Buttermilk Chicken with Chopped Salad</v>
      </c>
      <c r="B86" s="4" t="s">
        <v>11</v>
      </c>
      <c r="C86" s="4" t="s">
        <v>62</v>
      </c>
      <c r="D86" s="4" t="s">
        <v>6</v>
      </c>
      <c r="E86" s="4" t="s">
        <v>7</v>
      </c>
    </row>
    <row r="87" spans="1:5">
      <c r="A87" s="3" t="str">
        <f>HYPERLINK("https://www.foodcoach.me/recipe/caesar-deviled-eggs/","Caesar Deviled Eggs - Bariatric Recipe")</f>
        <v>Caesar Deviled Eggs - Bariatric Recipe</v>
      </c>
      <c r="B87" s="4" t="s">
        <v>39</v>
      </c>
      <c r="C87" s="4" t="s">
        <v>9</v>
      </c>
      <c r="D87" s="4" t="s">
        <v>10</v>
      </c>
      <c r="E87" s="4" t="s">
        <v>7</v>
      </c>
    </row>
    <row r="88" spans="1:5">
      <c r="A88" s="7" t="s">
        <v>63</v>
      </c>
      <c r="B88" s="6" t="s">
        <v>27</v>
      </c>
      <c r="C88" s="6" t="s">
        <v>31</v>
      </c>
      <c r="D88" s="6" t="s">
        <v>29</v>
      </c>
      <c r="E88" s="6" t="s">
        <v>14</v>
      </c>
    </row>
    <row r="89" spans="1:5">
      <c r="A89" s="3" t="str">
        <f>HYPERLINK("https://www.foodcoach.me/recipe/caesars-burger/","Caesars Burger - Low Carb WLS Recipe")</f>
        <v>Caesars Burger - Low Carb WLS Recipe</v>
      </c>
      <c r="B89" s="4" t="s">
        <v>4</v>
      </c>
      <c r="C89" s="4" t="s">
        <v>31</v>
      </c>
      <c r="D89" s="4" t="s">
        <v>6</v>
      </c>
      <c r="E89" s="4" t="s">
        <v>7</v>
      </c>
    </row>
    <row r="90" spans="1:5">
      <c r="A90" s="3" t="str">
        <f>HYPERLINK("https://www.foodcoach.me/recipe/107/","Cajun Seasoned Stuffed Chicken Breast")</f>
        <v>Cajun Seasoned Stuffed Chicken Breast</v>
      </c>
      <c r="B90" s="4" t="s">
        <v>11</v>
      </c>
      <c r="C90" s="4" t="s">
        <v>12</v>
      </c>
      <c r="D90" s="4" t="s">
        <v>6</v>
      </c>
      <c r="E90" s="4" t="s">
        <v>7</v>
      </c>
    </row>
    <row r="91" spans="1:5">
      <c r="A91" s="3" t="str">
        <f>HYPERLINK("https://www.foodcoach.me/recipe/california-burger/","California Burger - Low Carb WLS Recipe")</f>
        <v>California Burger - Low Carb WLS Recipe</v>
      </c>
      <c r="B91" s="4" t="s">
        <v>4</v>
      </c>
      <c r="C91" s="4" t="s">
        <v>5</v>
      </c>
      <c r="D91" s="4" t="s">
        <v>6</v>
      </c>
      <c r="E91" s="4" t="s">
        <v>7</v>
      </c>
    </row>
    <row r="92" spans="1:5">
      <c r="A92" s="3" t="str">
        <f>HYPERLINK("https://www.foodcoach.me/recipe/california-cobb-salad/","California Cobb Salad - WLS Recipe")</f>
        <v>California Cobb Salad - WLS Recipe</v>
      </c>
      <c r="B92" s="4" t="s">
        <v>23</v>
      </c>
      <c r="C92" s="4" t="s">
        <v>9</v>
      </c>
      <c r="D92" s="4" t="s">
        <v>6</v>
      </c>
      <c r="E92" s="4" t="s">
        <v>7</v>
      </c>
    </row>
    <row r="93" spans="1:5">
      <c r="A93" s="3" t="str">
        <f>HYPERLINK("https://www.foodcoach.me/recipe/caprese-pasta-bowl-wls-recipe/","Caprese ""Pasta"" Bowl - WLS Recipe")</f>
        <v>Caprese "Pasta" Bowl - WLS Recipe</v>
      </c>
      <c r="B93" s="4" t="s">
        <v>11</v>
      </c>
      <c r="C93" s="4" t="s">
        <v>5</v>
      </c>
      <c r="D93" s="4" t="s">
        <v>6</v>
      </c>
      <c r="E93" s="4" t="s">
        <v>7</v>
      </c>
    </row>
    <row r="94" spans="1:5">
      <c r="A94" s="3" t="str">
        <f>HYPERLINK("https://www.foodcoach.me/recipe/caramel-almond-protein-shake/","Caramel Almond Protein Shake")</f>
        <v>Caramel Almond Protein Shake</v>
      </c>
      <c r="B94" s="4" t="s">
        <v>32</v>
      </c>
      <c r="C94" s="4" t="s">
        <v>56</v>
      </c>
      <c r="D94" s="4" t="s">
        <v>64</v>
      </c>
      <c r="E94" s="4" t="s">
        <v>7</v>
      </c>
    </row>
    <row r="95" spans="1:5">
      <c r="A95" s="3" t="str">
        <f>HYPERLINK("https://www.foodcoach.me/recipe/caramel-frappuccino-protein-shake/","Caramel Frappuccino Protein Shake - WLS Recipes")</f>
        <v>Caramel Frappuccino Protein Shake - WLS Recipes</v>
      </c>
      <c r="B95" s="4" t="s">
        <v>16</v>
      </c>
      <c r="C95" s="4" t="s">
        <v>9</v>
      </c>
      <c r="D95" s="4" t="s">
        <v>64</v>
      </c>
      <c r="E95" s="4" t="s">
        <v>14</v>
      </c>
    </row>
    <row r="96" spans="1:5">
      <c r="A96" s="3" t="str">
        <f>HYPERLINK("https://www.foodcoach.me/recipe/caribbean-jerk-grilled-chicken/","Caribbean Jerk Grilled Chicken")</f>
        <v>Caribbean Jerk Grilled Chicken</v>
      </c>
      <c r="B96" s="4" t="s">
        <v>11</v>
      </c>
      <c r="C96" s="4" t="s">
        <v>12</v>
      </c>
      <c r="D96" s="4" t="s">
        <v>6</v>
      </c>
      <c r="E96" s="4" t="s">
        <v>7</v>
      </c>
    </row>
    <row r="97" spans="1:5">
      <c r="A97" s="3" t="str">
        <f>HYPERLINK("https://www.foodcoach.me/recipe/caribbean-pork-spinach-salad/","Caribbean Pork and Zucchini")</f>
        <v>Caribbean Pork and Zucchini</v>
      </c>
      <c r="B97" s="4" t="s">
        <v>27</v>
      </c>
      <c r="C97" s="4" t="s">
        <v>12</v>
      </c>
      <c r="D97" s="4" t="s">
        <v>6</v>
      </c>
      <c r="E97" s="4" t="s">
        <v>14</v>
      </c>
    </row>
    <row r="98" spans="1:5">
      <c r="A98" s="3" t="str">
        <f>HYPERLINK("https://www.foodcoach.me/recipe/carne-asada-steak-salad/","Carne Asada Steak Salad")</f>
        <v>Carne Asada Steak Salad</v>
      </c>
      <c r="B98" s="4" t="s">
        <v>4</v>
      </c>
      <c r="C98" s="4" t="s">
        <v>5</v>
      </c>
      <c r="D98" s="4" t="s">
        <v>6</v>
      </c>
      <c r="E98" s="4" t="s">
        <v>7</v>
      </c>
    </row>
    <row r="99" spans="1:5">
      <c r="A99" s="3" t="str">
        <f>HYPERLINK("https://www.foodcoach.me/recipe/carrot-apple-slaw/","Carrot Apple Slaw")</f>
        <v>Carrot Apple Slaw</v>
      </c>
      <c r="B99" s="4" t="s">
        <v>23</v>
      </c>
      <c r="C99" s="4" t="s">
        <v>9</v>
      </c>
      <c r="D99" s="4" t="s">
        <v>34</v>
      </c>
      <c r="E99" s="4" t="s">
        <v>7</v>
      </c>
    </row>
    <row r="100" spans="1:5">
      <c r="A100" s="3" t="str">
        <f>HYPERLINK("https://www.foodcoach.me/recipe/cauliflower-mac-cheese-bake/","Cauliflower &amp; Cheese Bake")</f>
        <v>Cauliflower &amp; Cheese Bake</v>
      </c>
      <c r="B100" s="4" t="s">
        <v>23</v>
      </c>
      <c r="C100" s="4" t="s">
        <v>12</v>
      </c>
      <c r="D100" s="4" t="s">
        <v>34</v>
      </c>
      <c r="E100" s="4" t="s">
        <v>14</v>
      </c>
    </row>
    <row r="101" spans="1:5">
      <c r="A101" s="3" t="str">
        <f>HYPERLINK("https://www.foodcoach.me/?s=Cauliflower+Mini+Pizza","Cauliflower Mini Pizza")</f>
        <v>Cauliflower Mini Pizza</v>
      </c>
      <c r="B101" s="4" t="s">
        <v>55</v>
      </c>
      <c r="C101" s="4" t="s">
        <v>12</v>
      </c>
      <c r="D101" s="4" t="s">
        <v>6</v>
      </c>
      <c r="E101" s="4" t="s">
        <v>7</v>
      </c>
    </row>
    <row r="102" spans="1:5">
      <c r="A102" s="3" t="str">
        <f>HYPERLINK("https://www.foodcoach.me/recipe/cauliflower-rice-salmon-bowl-dairy-free/","Cauliflower Rice Salmon Bowl - Dairy Free")</f>
        <v>Cauliflower Rice Salmon Bowl - Dairy Free</v>
      </c>
      <c r="B102" s="4" t="s">
        <v>43</v>
      </c>
      <c r="C102" s="4" t="s">
        <v>12</v>
      </c>
      <c r="D102" s="4" t="s">
        <v>6</v>
      </c>
      <c r="E102" s="4" t="s">
        <v>7</v>
      </c>
    </row>
    <row r="103" spans="1:5">
      <c r="A103" s="3" t="str">
        <f>HYPERLINK("https://www.foodcoach.me/recipe/cauliflower-rice-salmon-bowl-contains-dairy/","Cauliflower Rice Salmon Bowl with Feta Yogurt Dip")</f>
        <v>Cauliflower Rice Salmon Bowl with Feta Yogurt Dip</v>
      </c>
      <c r="B103" s="4" t="s">
        <v>65</v>
      </c>
      <c r="C103" s="4" t="s">
        <v>12</v>
      </c>
      <c r="D103" s="4" t="s">
        <v>6</v>
      </c>
      <c r="E103" s="4" t="s">
        <v>14</v>
      </c>
    </row>
    <row r="104" spans="1:5">
      <c r="A104" s="3" t="str">
        <f>HYPERLINK("https://www.foodcoach.me/recipe/cauliflower-tots-pinterest-recipe-review/","Cauliflower Tots")</f>
        <v>Cauliflower Tots</v>
      </c>
      <c r="B104" s="4" t="s">
        <v>23</v>
      </c>
      <c r="C104" s="4" t="s">
        <v>12</v>
      </c>
      <c r="D104" s="4" t="s">
        <v>34</v>
      </c>
      <c r="E104" s="4" t="s">
        <v>7</v>
      </c>
    </row>
    <row r="105" spans="1:5">
      <c r="A105" s="3" t="str">
        <f>HYPERLINK("https://www.foodcoach.me/recipe/chai-tea-latte/","Chai Tea Latte")</f>
        <v>Chai Tea Latte</v>
      </c>
      <c r="B105" s="4" t="s">
        <v>32</v>
      </c>
      <c r="C105" s="4" t="s">
        <v>9</v>
      </c>
      <c r="D105" s="4" t="s">
        <v>64</v>
      </c>
      <c r="E105" s="4" t="s">
        <v>7</v>
      </c>
    </row>
    <row r="106" spans="1:5">
      <c r="A106" s="3" t="str">
        <f>HYPERLINK("https://www.foodcoach.me/recipe/cheeseburger-chili/","Cheeseburger Chili - Postop WLS Recipe")</f>
        <v>Cheeseburger Chili - Postop WLS Recipe</v>
      </c>
      <c r="B106" s="4" t="s">
        <v>4</v>
      </c>
      <c r="C106" s="4" t="s">
        <v>50</v>
      </c>
      <c r="D106" s="4" t="s">
        <v>6</v>
      </c>
      <c r="E106" s="4" t="s">
        <v>7</v>
      </c>
    </row>
    <row r="107" spans="1:5">
      <c r="A107" s="3" t="str">
        <f>HYPERLINK("https://www.foodcoach.me/recipe/cheeseburger-stew/","Cheeseburger Stew")</f>
        <v>Cheeseburger Stew</v>
      </c>
      <c r="B107" s="4" t="s">
        <v>11</v>
      </c>
      <c r="C107" s="4" t="s">
        <v>50</v>
      </c>
      <c r="D107" s="4" t="s">
        <v>6</v>
      </c>
      <c r="E107" s="4" t="s">
        <v>7</v>
      </c>
    </row>
    <row r="108" spans="1:5">
      <c r="A108" s="3" t="str">
        <f>HYPERLINK("https://www.foodcoach.me/recipe/cheesesteak-skillet-wls-recipe/","Cheesesteak Skillet - WLS Recipe")</f>
        <v>Cheesesteak Skillet - WLS Recipe</v>
      </c>
      <c r="B108" s="4" t="s">
        <v>4</v>
      </c>
      <c r="C108" s="4" t="s">
        <v>5</v>
      </c>
      <c r="D108" s="4" t="s">
        <v>6</v>
      </c>
      <c r="E108" s="4" t="s">
        <v>7</v>
      </c>
    </row>
    <row r="109" spans="1:5">
      <c r="A109" s="3" t="str">
        <f>HYPERLINK("https://www.foodcoach.me/recipe/cheesy-asparagus-fries/","Cheesy Asparagus Fries - Bariatric Recipes")</f>
        <v>Cheesy Asparagus Fries - Bariatric Recipes</v>
      </c>
      <c r="B109" s="4" t="s">
        <v>23</v>
      </c>
      <c r="C109" s="4" t="s">
        <v>12</v>
      </c>
      <c r="D109" s="4" t="s">
        <v>34</v>
      </c>
      <c r="E109" s="4" t="s">
        <v>7</v>
      </c>
    </row>
    <row r="110" spans="1:5">
      <c r="A110" s="3" t="str">
        <f>HYPERLINK("https://www.foodcoach.me/recipe/cheesy-garden-chicken-soup/","Cheesy Garden &amp; Chicken Soup")</f>
        <v>Cheesy Garden &amp; Chicken Soup</v>
      </c>
      <c r="B110" s="4" t="s">
        <v>11</v>
      </c>
      <c r="C110" s="4" t="s">
        <v>5</v>
      </c>
      <c r="D110" s="4" t="s">
        <v>6</v>
      </c>
      <c r="E110" s="4" t="s">
        <v>7</v>
      </c>
    </row>
    <row r="111" spans="1:5">
      <c r="A111" s="3" t="str">
        <f>HYPERLINK("https://www.foodcoach.me/recipe/cheesy-ham-omelette-wls-breakfast/","Cheesy Ham Omelette - WLS Breakfast")</f>
        <v>Cheesy Ham Omelette - WLS Breakfast</v>
      </c>
      <c r="B111" s="4" t="s">
        <v>39</v>
      </c>
      <c r="C111" s="4" t="s">
        <v>5</v>
      </c>
      <c r="D111" s="4" t="s">
        <v>41</v>
      </c>
      <c r="E111" s="4" t="s">
        <v>14</v>
      </c>
    </row>
    <row r="112" spans="1:5">
      <c r="A112" s="3" t="str">
        <f>HYPERLINK("https://www.foodcoach.me/recipe/cheesy-mashed-cauliflower/","Cheesy Mashed Cauliflower")</f>
        <v>Cheesy Mashed Cauliflower</v>
      </c>
      <c r="B112" s="4" t="s">
        <v>23</v>
      </c>
      <c r="C112" s="4" t="s">
        <v>12</v>
      </c>
      <c r="D112" s="4" t="s">
        <v>34</v>
      </c>
      <c r="E112" s="4" t="s">
        <v>7</v>
      </c>
    </row>
    <row r="113" spans="1:5">
      <c r="A113" s="3" t="str">
        <f>HYPERLINK("https://www.foodcoach.me/recipe/cherry-bomb-cocktail/","Cherry Bomb Mocktail - Bariatric Friendly")</f>
        <v>Cherry Bomb Mocktail - Bariatric Friendly</v>
      </c>
      <c r="B113" s="4" t="s">
        <v>66</v>
      </c>
      <c r="C113" s="4" t="s">
        <v>9</v>
      </c>
      <c r="D113" s="4" t="s">
        <v>64</v>
      </c>
      <c r="E113" s="4" t="s">
        <v>7</v>
      </c>
    </row>
    <row r="114" spans="1:5">
      <c r="A114" s="3" t="str">
        <f>HYPERLINK("https://www.foodcoach.me/recipe/chicken-broccoli-casserole/","Chicken &amp; Broccoli Casserole - Bariatric Recipes")</f>
        <v>Chicken &amp; Broccoli Casserole - Bariatric Recipes</v>
      </c>
      <c r="B114" s="4" t="s">
        <v>23</v>
      </c>
      <c r="C114" s="4" t="s">
        <v>12</v>
      </c>
      <c r="D114" s="4" t="s">
        <v>6</v>
      </c>
      <c r="E114" s="4" t="s">
        <v>7</v>
      </c>
    </row>
    <row r="115" spans="1:5">
      <c r="A115" s="3" t="str">
        <f>HYPERLINK("https://www.foodcoach.me/recipe/chicken-and-avocado-mash-bariatric-pureedsoft-diet/","Chicken and Avocado Mash - Bariatric Pureed/Soft Diet")</f>
        <v>Chicken and Avocado Mash - Bariatric Pureed/Soft Diet</v>
      </c>
      <c r="B115" s="4" t="s">
        <v>48</v>
      </c>
      <c r="C115" s="4" t="s">
        <v>9</v>
      </c>
      <c r="D115" s="4" t="s">
        <v>54</v>
      </c>
      <c r="E115" s="4" t="s">
        <v>14</v>
      </c>
    </row>
    <row r="116" spans="1:5">
      <c r="A116" s="3" t="str">
        <f>HYPERLINK("https://www.foodcoach.me/recipe/chicken-artichoke-spinach-puree/","Chicken Artichoke Spinach Puree")</f>
        <v>Chicken Artichoke Spinach Puree</v>
      </c>
      <c r="B116" s="4" t="s">
        <v>55</v>
      </c>
      <c r="C116" s="4" t="s">
        <v>12</v>
      </c>
      <c r="D116" s="4" t="s">
        <v>54</v>
      </c>
      <c r="E116" s="4" t="s">
        <v>14</v>
      </c>
    </row>
    <row r="117" spans="1:5">
      <c r="A117" s="3" t="str">
        <f>HYPERLINK("https://www.foodcoach.me/recipe/chicken-avocado-burger/","Chicken Avocado Burger - Bariatric Recipes")</f>
        <v>Chicken Avocado Burger - Bariatric Recipes</v>
      </c>
      <c r="B117" s="4" t="s">
        <v>11</v>
      </c>
      <c r="C117" s="4" t="s">
        <v>40</v>
      </c>
      <c r="D117" s="4" t="s">
        <v>6</v>
      </c>
      <c r="E117" s="4" t="s">
        <v>7</v>
      </c>
    </row>
    <row r="118" spans="1:5">
      <c r="A118" s="3" t="str">
        <f>HYPERLINK("https://www.foodcoach.me/recipe/chicken-breakfast-sausage/","Chicken Breakfast Sausage - Bariatric Recipes")</f>
        <v>Chicken Breakfast Sausage - Bariatric Recipes</v>
      </c>
      <c r="B118" s="4" t="s">
        <v>11</v>
      </c>
      <c r="C118" s="4" t="s">
        <v>12</v>
      </c>
      <c r="D118" s="4" t="s">
        <v>41</v>
      </c>
      <c r="E118" s="4" t="s">
        <v>7</v>
      </c>
    </row>
    <row r="119" spans="1:5">
      <c r="A119" s="3" t="str">
        <f>HYPERLINK("https://www.foodcoach.me/recipe/chicken-breast-with-tomato-basil-queso/","Chicken Breast with Tomato &amp; Basil Queso")</f>
        <v>Chicken Breast with Tomato &amp; Basil Queso</v>
      </c>
      <c r="B119" s="4" t="s">
        <v>11</v>
      </c>
      <c r="C119" s="4" t="s">
        <v>5</v>
      </c>
      <c r="D119" s="4" t="s">
        <v>6</v>
      </c>
      <c r="E119" s="4" t="s">
        <v>7</v>
      </c>
    </row>
    <row r="120" spans="1:5">
      <c r="A120" s="3" t="str">
        <f>HYPERLINK("https://www.foodcoach.me/recipe/chicken-burrito-salad-bowl/","Chicken Burrito Salad Bowl - WLS Recipes")</f>
        <v>Chicken Burrito Salad Bowl - WLS Recipes</v>
      </c>
      <c r="B120" s="4" t="s">
        <v>11</v>
      </c>
      <c r="C120" s="4" t="s">
        <v>12</v>
      </c>
      <c r="D120" s="4" t="s">
        <v>6</v>
      </c>
      <c r="E120" s="4" t="s">
        <v>7</v>
      </c>
    </row>
    <row r="121" spans="1:5">
      <c r="A121" s="7" t="s">
        <v>67</v>
      </c>
      <c r="B121" s="6" t="s">
        <v>11</v>
      </c>
      <c r="C121" s="6" t="s">
        <v>5</v>
      </c>
      <c r="D121" s="6" t="s">
        <v>29</v>
      </c>
      <c r="E121" s="6" t="s">
        <v>14</v>
      </c>
    </row>
    <row r="122" spans="1:5">
      <c r="A122" s="3" t="str">
        <f>HYPERLINK("https://www.foodcoach.me/recipe/chicken-caesar-lettuce-wraps/","Chicken Caesar Lettuce Wraps - WLS Recipes")</f>
        <v>Chicken Caesar Lettuce Wraps - WLS Recipes</v>
      </c>
      <c r="B122" s="4" t="s">
        <v>11</v>
      </c>
      <c r="C122" s="4" t="s">
        <v>68</v>
      </c>
      <c r="D122" s="4" t="s">
        <v>6</v>
      </c>
      <c r="E122" s="4" t="s">
        <v>7</v>
      </c>
    </row>
    <row r="123" spans="1:5">
      <c r="A123" s="3" t="str">
        <f>HYPERLINK("https://www.foodcoach.me/recipe/chicken-enchilada-zucchini-boats-wls-low-carb-recipe/","Chicken Enchilada Zucchini Boats - WLS Low Carb Recipe")</f>
        <v>Chicken Enchilada Zucchini Boats - WLS Low Carb Recipe</v>
      </c>
      <c r="B123" s="4" t="s">
        <v>11</v>
      </c>
      <c r="C123" s="4" t="s">
        <v>12</v>
      </c>
      <c r="D123" s="4" t="s">
        <v>6</v>
      </c>
      <c r="E123" s="4" t="s">
        <v>14</v>
      </c>
    </row>
    <row r="124" spans="1:5">
      <c r="A124" s="3" t="str">
        <f>HYPERLINK("https://www.foodcoach.me/recipe/chicken-mozzarella-burger/","Chicken Mozzarella Burger - Low Carb WLS Recipe")</f>
        <v>Chicken Mozzarella Burger - Low Carb WLS Recipe</v>
      </c>
      <c r="B124" s="4" t="s">
        <v>11</v>
      </c>
      <c r="C124" s="4" t="s">
        <v>31</v>
      </c>
      <c r="D124" s="4" t="s">
        <v>6</v>
      </c>
      <c r="E124" s="4" t="s">
        <v>14</v>
      </c>
    </row>
    <row r="125" spans="1:5">
      <c r="A125" s="3" t="str">
        <f>HYPERLINK("https://www.foodcoach.me/recipe/chicken-mozzarella-skillet-easy-wls-recipe/","Chicken Mozzarella Skillet - Easy WLS Recipe")</f>
        <v>Chicken Mozzarella Skillet - Easy WLS Recipe</v>
      </c>
      <c r="B125" s="4" t="s">
        <v>11</v>
      </c>
      <c r="C125" s="4" t="s">
        <v>5</v>
      </c>
      <c r="D125" s="4" t="s">
        <v>6</v>
      </c>
      <c r="E125" s="4" t="s">
        <v>14</v>
      </c>
    </row>
    <row r="126" spans="1:5">
      <c r="A126" s="3" t="str">
        <f>HYPERLINK("https://www.foodcoach.me/recipe/chicken-egg-salad/","Chicken Or The Egg Salad")</f>
        <v>Chicken Or The Egg Salad</v>
      </c>
      <c r="B126" s="4" t="s">
        <v>48</v>
      </c>
      <c r="C126" s="4" t="s">
        <v>9</v>
      </c>
      <c r="D126" s="4" t="s">
        <v>6</v>
      </c>
      <c r="E126" s="4" t="s">
        <v>14</v>
      </c>
    </row>
    <row r="127" spans="1:5">
      <c r="A127" s="3" t="str">
        <f>HYPERLINK("https://www.foodcoach.me/recipe/chicken-parmesan-mini-meatloaf/","Chicken Parmesan Mini Meatloaf - Bariatric Sized Meal!")</f>
        <v>Chicken Parmesan Mini Meatloaf - Bariatric Sized Meal!</v>
      </c>
      <c r="B127" s="4" t="s">
        <v>11</v>
      </c>
      <c r="C127" s="4" t="s">
        <v>12</v>
      </c>
      <c r="D127" s="4" t="s">
        <v>6</v>
      </c>
      <c r="E127" s="4" t="s">
        <v>14</v>
      </c>
    </row>
    <row r="128" spans="1:5">
      <c r="A128" s="3" t="str">
        <f>HYPERLINK("https://www.foodcoach.me/recipe/chicken-pesto-lettuce-wraps/","Chicken Pesto Lettuce Wraps - WLS Recipes")</f>
        <v>Chicken Pesto Lettuce Wraps - WLS Recipes</v>
      </c>
      <c r="B128" s="4" t="s">
        <v>11</v>
      </c>
      <c r="C128" s="4" t="s">
        <v>9</v>
      </c>
      <c r="D128" s="4" t="s">
        <v>6</v>
      </c>
      <c r="E128" s="4" t="s">
        <v>7</v>
      </c>
    </row>
    <row r="129" spans="1:5">
      <c r="A129" s="3" t="str">
        <f>HYPERLINK("https://www.foodcoach.me/recipe/chicken-pesto-skewers/","Chicken Pesto Skewers")</f>
        <v>Chicken Pesto Skewers</v>
      </c>
      <c r="B129" s="4" t="s">
        <v>11</v>
      </c>
      <c r="C129" s="4" t="s">
        <v>31</v>
      </c>
      <c r="D129" s="4" t="s">
        <v>6</v>
      </c>
      <c r="E129" s="4" t="s">
        <v>7</v>
      </c>
    </row>
    <row r="130" spans="1:5">
      <c r="A130" s="3" t="str">
        <f>HYPERLINK("https://www.foodcoach.me/recipe/chicken-picatta/","Chicken Picatta - Bariatric Recipes")</f>
        <v>Chicken Picatta - Bariatric Recipes</v>
      </c>
      <c r="B130" s="4" t="s">
        <v>11</v>
      </c>
      <c r="C130" s="4" t="s">
        <v>5</v>
      </c>
      <c r="D130" s="4" t="s">
        <v>6</v>
      </c>
      <c r="E130" s="4" t="s">
        <v>7</v>
      </c>
    </row>
    <row r="131" spans="1:5">
      <c r="A131" s="8" t="s">
        <v>69</v>
      </c>
      <c r="B131" s="6" t="s">
        <v>11</v>
      </c>
      <c r="C131" s="6" t="s">
        <v>5</v>
      </c>
      <c r="D131" s="6" t="s">
        <v>29</v>
      </c>
      <c r="E131" s="6" t="s">
        <v>7</v>
      </c>
    </row>
    <row r="132" spans="1:5">
      <c r="A132" s="3" t="str">
        <f>HYPERLINK("https://www.foodcoach.me/recipe/chicken-salad-makeover/","Chicken Salad Makeover - Bariatric Friendly")</f>
        <v>Chicken Salad Makeover - Bariatric Friendly</v>
      </c>
      <c r="B132" s="4" t="s">
        <v>11</v>
      </c>
      <c r="C132" s="4" t="s">
        <v>9</v>
      </c>
      <c r="D132" s="4" t="s">
        <v>6</v>
      </c>
      <c r="E132" s="4" t="s">
        <v>7</v>
      </c>
    </row>
    <row r="133" spans="1:5">
      <c r="A133" s="7" t="s">
        <v>70</v>
      </c>
      <c r="B133" s="6" t="s">
        <v>11</v>
      </c>
      <c r="C133" s="6" t="s">
        <v>9</v>
      </c>
      <c r="D133" s="6" t="s">
        <v>19</v>
      </c>
      <c r="E133" s="6" t="s">
        <v>7</v>
      </c>
    </row>
    <row r="134" spans="1:5">
      <c r="A134" s="3" t="str">
        <f>HYPERLINK("https://www.foodcoach.me/recipe/chicken-sausage-meatballs/","Chicken Sausage Meatballs - Low Carb WLS Recipes")</f>
        <v>Chicken Sausage Meatballs - Low Carb WLS Recipes</v>
      </c>
      <c r="B134" s="4" t="s">
        <v>11</v>
      </c>
      <c r="C134" s="4" t="s">
        <v>12</v>
      </c>
      <c r="D134" s="4" t="s">
        <v>6</v>
      </c>
      <c r="E134" s="4" t="s">
        <v>7</v>
      </c>
    </row>
    <row r="135" spans="1:5">
      <c r="A135" s="3" t="str">
        <f>HYPERLINK("https://www.foodcoach.me/recipe/chicken-skillet-with-green-enchilada-sauce/","Chicken Skillet with Green Enchilada Sauce")</f>
        <v>Chicken Skillet with Green Enchilada Sauce</v>
      </c>
      <c r="B135" s="4" t="s">
        <v>11</v>
      </c>
      <c r="C135" s="4" t="s">
        <v>5</v>
      </c>
      <c r="D135" s="4" t="s">
        <v>6</v>
      </c>
      <c r="E135" s="4" t="s">
        <v>7</v>
      </c>
    </row>
    <row r="136" spans="1:5">
      <c r="A136" s="3" t="str">
        <f>HYPERLINK("https://www.foodcoach.me/recipe/chicken-tinga-shredded-mexican-chicken/","Chicken Tinga - Shredded Mexican Chicken")</f>
        <v>Chicken Tinga - Shredded Mexican Chicken</v>
      </c>
      <c r="B136" s="4" t="s">
        <v>48</v>
      </c>
      <c r="C136" s="4" t="s">
        <v>5</v>
      </c>
      <c r="D136" s="4" t="s">
        <v>6</v>
      </c>
      <c r="E136" s="4" t="s">
        <v>14</v>
      </c>
    </row>
    <row r="137" spans="1:5">
      <c r="A137" s="3" t="str">
        <f>HYPERLINK("https://www.foodcoach.me/recipe/chicken-with-cheesy-veggies-foil-pack/","Chicken with Cheesy Veggies Foil Pack")</f>
        <v>Chicken with Cheesy Veggies Foil Pack</v>
      </c>
      <c r="B137" s="4" t="s">
        <v>11</v>
      </c>
      <c r="C137" s="4" t="s">
        <v>31</v>
      </c>
      <c r="D137" s="4" t="s">
        <v>6</v>
      </c>
      <c r="E137" s="4" t="s">
        <v>7</v>
      </c>
    </row>
    <row r="138" spans="1:5">
      <c r="A138" s="3" t="str">
        <f>HYPERLINK("https://www.foodcoach.me/recipe/chicken-cilantro-lime-tomato-relish/","Chicken with Cilantro Lime Tomato Relish")</f>
        <v>Chicken with Cilantro Lime Tomato Relish</v>
      </c>
      <c r="B138" s="4" t="s">
        <v>48</v>
      </c>
      <c r="C138" s="4" t="s">
        <v>5</v>
      </c>
      <c r="D138" s="4" t="s">
        <v>6</v>
      </c>
      <c r="E138" s="4" t="s">
        <v>7</v>
      </c>
    </row>
    <row r="139" spans="1:5">
      <c r="A139" s="3" t="str">
        <f>HYPERLINK("https://www.foodcoach.me/recipe/chicken-with-turkey-bacon-mustard-sauce/","Chicken with Turkey Bacon Mustard Sauce")</f>
        <v>Chicken with Turkey Bacon Mustard Sauce</v>
      </c>
      <c r="B139" s="4" t="s">
        <v>11</v>
      </c>
      <c r="C139" s="4" t="s">
        <v>5</v>
      </c>
      <c r="D139" s="4" t="s">
        <v>6</v>
      </c>
      <c r="E139" s="4" t="s">
        <v>14</v>
      </c>
    </row>
    <row r="140" spans="1:5">
      <c r="A140" s="7" t="s">
        <v>71</v>
      </c>
      <c r="B140" s="4" t="s">
        <v>48</v>
      </c>
      <c r="C140" s="4" t="s">
        <v>5</v>
      </c>
      <c r="D140" s="4" t="s">
        <v>6</v>
      </c>
      <c r="E140" s="4" t="s">
        <v>14</v>
      </c>
    </row>
    <row r="141" spans="1:5">
      <c r="A141" s="3" t="str">
        <f>HYPERLINK("https://www.foodcoach.me/recipe/chimichurri-grilled-chicken-kebabs/","Chimichurri Grilled Chicken Kebabs")</f>
        <v>Chimichurri Grilled Chicken Kebabs</v>
      </c>
      <c r="B141" s="4" t="s">
        <v>48</v>
      </c>
      <c r="C141" s="4" t="s">
        <v>31</v>
      </c>
      <c r="D141" s="4" t="s">
        <v>6</v>
      </c>
      <c r="E141" s="4" t="s">
        <v>7</v>
      </c>
    </row>
    <row r="142" spans="1:5">
      <c r="A142" s="3" t="str">
        <f>HYPERLINK("https://www.foodcoach.me/recipe/wlsporkgreenbeans/","Chinese Pork with Green Beans")</f>
        <v>Chinese Pork with Green Beans</v>
      </c>
      <c r="B142" s="4" t="s">
        <v>27</v>
      </c>
      <c r="C142" s="4" t="s">
        <v>5</v>
      </c>
      <c r="D142" s="4" t="s">
        <v>6</v>
      </c>
      <c r="E142" s="4" t="s">
        <v>14</v>
      </c>
    </row>
    <row r="143" spans="1:5">
      <c r="A143" s="3" t="str">
        <f>HYPERLINK("https://www.foodcoach.me/recipe/chipotle-pepper-sauce-over-chicken/","Chipotle Pepper Sauce (Over Chicken)")</f>
        <v>Chipotle Pepper Sauce (Over Chicken)</v>
      </c>
      <c r="B143" s="4" t="s">
        <v>11</v>
      </c>
      <c r="C143" s="4" t="s">
        <v>31</v>
      </c>
      <c r="D143" s="4" t="s">
        <v>6</v>
      </c>
      <c r="E143" s="4" t="s">
        <v>7</v>
      </c>
    </row>
    <row r="144" spans="1:5">
      <c r="A144" s="3" t="str">
        <f>HYPERLINK("https://www.foodcoach.me/recipe/chipotle-steak-salad/","Chipotle Steak Salad - WLS Recipes")</f>
        <v>Chipotle Steak Salad - WLS Recipes</v>
      </c>
      <c r="B144" s="4" t="s">
        <v>72</v>
      </c>
      <c r="C144" s="4" t="s">
        <v>5</v>
      </c>
      <c r="D144" s="4" t="s">
        <v>6</v>
      </c>
      <c r="E144" s="4" t="s">
        <v>7</v>
      </c>
    </row>
    <row r="145" spans="1:5">
      <c r="A145" s="3" t="str">
        <f>HYPERLINK("https://www.foodcoach.me/recipe/chocolate-banana-mini-cakes/","Chocolate Banana Mini Cakes! Bariatric Friendly Recipe")</f>
        <v>Chocolate Banana Mini Cakes! Bariatric Friendly Recipe</v>
      </c>
      <c r="B145" s="4" t="s">
        <v>44</v>
      </c>
      <c r="C145" s="4" t="s">
        <v>12</v>
      </c>
      <c r="D145" s="4" t="s">
        <v>52</v>
      </c>
      <c r="E145" s="4" t="s">
        <v>7</v>
      </c>
    </row>
    <row r="146" spans="1:5">
      <c r="A146" s="3" t="str">
        <f>HYPERLINK("https://www.foodcoach.me/recipe/chocolate-coconut-protein-shake/","Chocolate Coconut Protein Shake")</f>
        <v>Chocolate Coconut Protein Shake</v>
      </c>
      <c r="B146" s="4" t="s">
        <v>73</v>
      </c>
      <c r="C146" s="4" t="s">
        <v>9</v>
      </c>
      <c r="D146" s="4" t="s">
        <v>33</v>
      </c>
      <c r="E146" s="4" t="s">
        <v>7</v>
      </c>
    </row>
    <row r="147" spans="1:5">
      <c r="A147" s="3" t="str">
        <f>HYPERLINK("https://www.foodcoach.me/recipe/chocolate-mint-protein-shake/","Chocolate Mint Protein Shake")</f>
        <v>Chocolate Mint Protein Shake</v>
      </c>
      <c r="B147" s="4" t="s">
        <v>32</v>
      </c>
      <c r="C147" s="4" t="s">
        <v>9</v>
      </c>
      <c r="D147" s="4" t="s">
        <v>33</v>
      </c>
      <c r="E147" s="4" t="s">
        <v>14</v>
      </c>
    </row>
    <row r="148" spans="1:5">
      <c r="A148" s="3" t="str">
        <f>HYPERLINK("https://www.foodcoach.me/recipe/chocolate-mousse-dip-bariatric-dessert/","Chocolate Mousse Dip - Bariatric Dessert")</f>
        <v>Chocolate Mousse Dip - Bariatric Dessert</v>
      </c>
      <c r="B148" s="4" t="s">
        <v>44</v>
      </c>
      <c r="C148" s="4" t="s">
        <v>9</v>
      </c>
      <c r="D148" s="4" t="s">
        <v>52</v>
      </c>
      <c r="E148" s="4" t="s">
        <v>7</v>
      </c>
    </row>
    <row r="149" spans="1:5">
      <c r="A149" s="3" t="str">
        <f>HYPERLINK("https://www.foodcoach.me/recipe/chocolate-peanut-butter-protein-shake/","Chocolate Peanut Butter Protein Shake")</f>
        <v>Chocolate Peanut Butter Protein Shake</v>
      </c>
      <c r="B149" s="4" t="s">
        <v>32</v>
      </c>
      <c r="C149" s="4" t="s">
        <v>9</v>
      </c>
      <c r="D149" s="4" t="s">
        <v>33</v>
      </c>
      <c r="E149" s="4" t="s">
        <v>7</v>
      </c>
    </row>
    <row r="150" spans="1:5">
      <c r="A150" s="3" t="str">
        <f>HYPERLINK("https://www.foodcoach.me/recipe/chocolate-protein-pudding/","Chocolate Protein Pudding")</f>
        <v>Chocolate Protein Pudding</v>
      </c>
      <c r="B150" s="4" t="s">
        <v>51</v>
      </c>
      <c r="C150" s="4" t="s">
        <v>9</v>
      </c>
      <c r="D150" s="4" t="s">
        <v>52</v>
      </c>
      <c r="E150" s="4" t="s">
        <v>7</v>
      </c>
    </row>
    <row r="151" spans="1:5">
      <c r="A151" s="7" t="s">
        <v>74</v>
      </c>
      <c r="B151" s="6" t="s">
        <v>23</v>
      </c>
      <c r="C151" s="6" t="s">
        <v>9</v>
      </c>
      <c r="D151" s="6" t="s">
        <v>34</v>
      </c>
      <c r="E151" s="6" t="s">
        <v>7</v>
      </c>
    </row>
    <row r="152" spans="1:5">
      <c r="A152" s="3" t="str">
        <f>HYPERLINK("https://www.foodcoach.me/recipe/chunky-garden-italian-chicken/","Chunky Garden Italian Chicken")</f>
        <v>Chunky Garden Italian Chicken</v>
      </c>
      <c r="B152" s="4" t="s">
        <v>48</v>
      </c>
      <c r="C152" s="4" t="s">
        <v>5</v>
      </c>
      <c r="D152" s="4" t="s">
        <v>6</v>
      </c>
      <c r="E152" s="4" t="s">
        <v>7</v>
      </c>
    </row>
    <row r="153" spans="1:5">
      <c r="A153" s="3" t="str">
        <f>HYPERLINK("https://www.foodcoach.me/recipe/cilantro-chipotle-creamy-steak-topping/","Cilantro Chipotle Creamy Steak Topping")</f>
        <v>Cilantro Chipotle Creamy Steak Topping</v>
      </c>
      <c r="B153" s="4" t="s">
        <v>4</v>
      </c>
      <c r="C153" s="4" t="s">
        <v>31</v>
      </c>
      <c r="D153" s="4" t="s">
        <v>6</v>
      </c>
      <c r="E153" s="4" t="s">
        <v>7</v>
      </c>
    </row>
    <row r="154" spans="1:5">
      <c r="A154" s="3" t="str">
        <f>HYPERLINK("https://www.foodcoach.me/recipe/cilantro-lime-cauliflower-rice/","Cilantro Lime Cauliflower Rice")</f>
        <v>Cilantro Lime Cauliflower Rice</v>
      </c>
      <c r="B154" s="4" t="s">
        <v>55</v>
      </c>
      <c r="C154" s="4" t="s">
        <v>9</v>
      </c>
      <c r="D154" s="4" t="s">
        <v>34</v>
      </c>
      <c r="E154" s="4" t="s">
        <v>7</v>
      </c>
    </row>
    <row r="155" spans="1:5">
      <c r="A155" s="3" t="str">
        <f>HYPERLINK("https://www.foodcoach.me/recipe/sweet-spicy-guacamole-over-chicken/","Cilantro Lime Grilled Chicken")</f>
        <v>Cilantro Lime Grilled Chicken</v>
      </c>
      <c r="B155" s="4" t="s">
        <v>11</v>
      </c>
      <c r="C155" s="4" t="s">
        <v>5</v>
      </c>
      <c r="D155" s="4" t="s">
        <v>6</v>
      </c>
      <c r="E155" s="4" t="s">
        <v>7</v>
      </c>
    </row>
    <row r="156" spans="1:5">
      <c r="A156" s="3" t="str">
        <f>HYPERLINK("https://www.foodcoach.me/recipe/cinnamon-protein-ice-cream/","Cinnamon Protein Ice Cream - Bariatric Friendly Desserts")</f>
        <v>Cinnamon Protein Ice Cream - Bariatric Friendly Desserts</v>
      </c>
      <c r="B156" s="4" t="s">
        <v>44</v>
      </c>
      <c r="C156" s="4" t="s">
        <v>9</v>
      </c>
      <c r="D156" s="4" t="s">
        <v>52</v>
      </c>
      <c r="E156" s="4" t="s">
        <v>7</v>
      </c>
    </row>
    <row r="157" spans="1:5">
      <c r="A157" s="3" t="str">
        <f>HYPERLINK("https://www.foodcoach.me/recipe/citrus-herb-salmon/","Citrus Herb Salmon")</f>
        <v>Citrus Herb Salmon</v>
      </c>
      <c r="B157" s="4" t="s">
        <v>43</v>
      </c>
      <c r="C157" s="4" t="s">
        <v>12</v>
      </c>
      <c r="D157" s="4" t="s">
        <v>6</v>
      </c>
      <c r="E157" s="4" t="s">
        <v>7</v>
      </c>
    </row>
    <row r="158" spans="1:5">
      <c r="A158" s="3" t="str">
        <f>HYPERLINK("https://www.foodcoach.me/recipe/classic-chicken-stir-fry/","Classic Chicken Stir Fry - WLS Recipes")</f>
        <v>Classic Chicken Stir Fry - WLS Recipes</v>
      </c>
      <c r="B158" s="4" t="s">
        <v>11</v>
      </c>
      <c r="C158" s="4" t="s">
        <v>40</v>
      </c>
      <c r="D158" s="4" t="s">
        <v>6</v>
      </c>
      <c r="E158" s="4" t="s">
        <v>7</v>
      </c>
    </row>
    <row r="159" spans="1:5">
      <c r="A159" s="3" t="str">
        <f>HYPERLINK("https://www.foodcoach.me/recipe/classic-cobb-lettuce-wraps/","Classic Cobb Lettuce Wraps")</f>
        <v>Classic Cobb Lettuce Wraps</v>
      </c>
      <c r="B159" s="4" t="s">
        <v>13</v>
      </c>
      <c r="C159" s="4" t="s">
        <v>9</v>
      </c>
      <c r="D159" s="4" t="s">
        <v>6</v>
      </c>
      <c r="E159" s="4" t="s">
        <v>7</v>
      </c>
    </row>
    <row r="160" spans="1:5">
      <c r="A160" s="3" t="str">
        <f>HYPERLINK("https://www.foodcoach.me/recipe/classic-taco-salad/","Classic Taco Salad")</f>
        <v>Classic Taco Salad</v>
      </c>
      <c r="B160" s="4" t="s">
        <v>13</v>
      </c>
      <c r="C160" s="4" t="s">
        <v>5</v>
      </c>
      <c r="D160" s="4" t="s">
        <v>75</v>
      </c>
      <c r="E160" s="4" t="s">
        <v>7</v>
      </c>
    </row>
    <row r="161" spans="1:5">
      <c r="A161" s="3" t="str">
        <f>HYPERLINK("https://www.foodcoach.me/recipe/classic-vanilla-shake-ahem-protein-shake/","Classic Vanilla Shake (Ahem, Protein Shake)")</f>
        <v>Classic Vanilla Shake (Ahem, Protein Shake)</v>
      </c>
      <c r="B161" s="4" t="s">
        <v>16</v>
      </c>
      <c r="C161" s="4" t="s">
        <v>9</v>
      </c>
      <c r="D161" s="4" t="s">
        <v>33</v>
      </c>
      <c r="E161" s="4" t="s">
        <v>7</v>
      </c>
    </row>
    <row r="162" spans="1:5">
      <c r="A162" s="3" t="str">
        <f>HYPERLINK("https://www.foodcoach.me/recipe/club-salad-with-pulled-chicken/","Club Salad with Pulled Chicken - WLS Recipe")</f>
        <v>Club Salad with Pulled Chicken - WLS Recipe</v>
      </c>
      <c r="B162" s="4" t="s">
        <v>11</v>
      </c>
      <c r="C162" s="4" t="s">
        <v>50</v>
      </c>
      <c r="D162" s="4" t="s">
        <v>6</v>
      </c>
      <c r="E162" s="4" t="s">
        <v>7</v>
      </c>
    </row>
    <row r="163" spans="1:5">
      <c r="A163" s="3" t="str">
        <f>HYPERLINK("https://www.foodcoach.me/recipe/cobb-stuffed-chicken-breasts/","Cobb Stuffed Chicken Breasts - Bariatric Recipes")</f>
        <v>Cobb Stuffed Chicken Breasts - Bariatric Recipes</v>
      </c>
      <c r="B163" s="4" t="s">
        <v>11</v>
      </c>
      <c r="C163" s="4" t="s">
        <v>12</v>
      </c>
      <c r="D163" s="4" t="s">
        <v>6</v>
      </c>
      <c r="E163" s="4" t="s">
        <v>7</v>
      </c>
    </row>
    <row r="164" spans="1:5">
      <c r="A164" s="3" t="str">
        <f>HYPERLINK("https://www.foodcoach.me/recipe/coffee-rubbed-breakfast-steak/","Coffee Rubbed Breakfast Steak - WLS Recipe")</f>
        <v>Coffee Rubbed Breakfast Steak - WLS Recipe</v>
      </c>
      <c r="B164" s="4" t="s">
        <v>4</v>
      </c>
      <c r="C164" s="4" t="s">
        <v>5</v>
      </c>
      <c r="D164" s="4" t="s">
        <v>6</v>
      </c>
      <c r="E164" s="4" t="s">
        <v>7</v>
      </c>
    </row>
    <row r="165" spans="1:5">
      <c r="A165" s="3" t="str">
        <f>HYPERLINK("https://www.foodcoach.me/recipe/cookies-and-cream-protein-shake/","Cookies and Cream Protein Shake")</f>
        <v>Cookies and Cream Protein Shake</v>
      </c>
      <c r="B165" s="4" t="s">
        <v>32</v>
      </c>
      <c r="C165" s="4" t="s">
        <v>9</v>
      </c>
      <c r="D165" s="4" t="s">
        <v>33</v>
      </c>
      <c r="E165" s="4" t="s">
        <v>14</v>
      </c>
    </row>
    <row r="166" spans="1:5">
      <c r="A166" s="3" t="str">
        <f>HYPERLINK("https://www.foodcoach.me/recipe/cowboy-stew/","Cowboy Beef Stew")</f>
        <v>Cowboy Beef Stew</v>
      </c>
      <c r="B166" s="4" t="s">
        <v>4</v>
      </c>
      <c r="C166" s="4" t="s">
        <v>68</v>
      </c>
      <c r="D166" s="4" t="s">
        <v>6</v>
      </c>
      <c r="E166" s="4" t="s">
        <v>7</v>
      </c>
    </row>
    <row r="167" spans="1:5">
      <c r="A167" s="3" t="str">
        <f>HYPERLINK("https://www.foodcoach.me/recipe/creamy-deviled-eggs/","Creamy Deviled Eggs")</f>
        <v>Creamy Deviled Eggs</v>
      </c>
      <c r="B167" s="4" t="s">
        <v>39</v>
      </c>
      <c r="C167" s="4" t="s">
        <v>9</v>
      </c>
      <c r="D167" s="4" t="s">
        <v>10</v>
      </c>
      <c r="E167" s="4" t="s">
        <v>7</v>
      </c>
    </row>
    <row r="168" spans="1:5">
      <c r="A168" s="3" t="str">
        <f>HYPERLINK("https://www.foodcoach.me/recipe/creamy-gelatin-squares-sugar-free-postop-treat/","Creamy Gelatin Squares - Sugar Free Postop Treat")</f>
        <v>Creamy Gelatin Squares - Sugar Free Postop Treat</v>
      </c>
      <c r="B168" s="4" t="s">
        <v>44</v>
      </c>
      <c r="C168" s="4" t="s">
        <v>9</v>
      </c>
      <c r="D168" s="4" t="s">
        <v>52</v>
      </c>
      <c r="E168" s="4" t="s">
        <v>7</v>
      </c>
    </row>
    <row r="169" spans="1:5">
      <c r="A169" s="3" t="str">
        <f>HYPERLINK("https://www.foodcoach.me/recipe/creamy-grilled-parmesan-tomatoes/","Creamy Grilled Parmesan Tomatoes")</f>
        <v>Creamy Grilled Parmesan Tomatoes</v>
      </c>
      <c r="B169" s="4" t="s">
        <v>23</v>
      </c>
      <c r="C169" s="4" t="s">
        <v>12</v>
      </c>
      <c r="D169" s="4" t="s">
        <v>34</v>
      </c>
      <c r="E169" s="4" t="s">
        <v>7</v>
      </c>
    </row>
    <row r="170" spans="1:5">
      <c r="A170" s="3" t="str">
        <f>HYPERLINK("https://www.foodcoach.me/?s=Creamy+Mashed+Cauliflower","Creamy Mashed Cauliflower")</f>
        <v>Creamy Mashed Cauliflower</v>
      </c>
      <c r="B170" s="4" t="s">
        <v>23</v>
      </c>
      <c r="C170" s="4" t="s">
        <v>9</v>
      </c>
      <c r="D170" s="4" t="s">
        <v>34</v>
      </c>
      <c r="E170" s="4" t="s">
        <v>7</v>
      </c>
    </row>
    <row r="171" spans="1:5">
      <c r="A171" s="3" t="str">
        <f>HYPERLINK("https://www.foodcoach.me/recipe/creamy-spinach-stuffed-chicken-breast/","Creamy Spinach Stuffed Chicken Breast - WLS Recipes")</f>
        <v>Creamy Spinach Stuffed Chicken Breast - WLS Recipes</v>
      </c>
      <c r="B171" s="4" t="s">
        <v>11</v>
      </c>
      <c r="C171" s="4" t="s">
        <v>12</v>
      </c>
      <c r="D171" s="4" t="s">
        <v>6</v>
      </c>
      <c r="E171" s="4" t="s">
        <v>14</v>
      </c>
    </row>
    <row r="172" spans="1:5">
      <c r="A172" s="3" t="str">
        <f>HYPERLINK("https://www.foodcoach.me/recipe/creamy-stuffed-mushrooms/","Creamy Stuffed Mushrooms")</f>
        <v>Creamy Stuffed Mushrooms</v>
      </c>
      <c r="B172" s="4" t="s">
        <v>23</v>
      </c>
      <c r="C172" s="4" t="s">
        <v>12</v>
      </c>
      <c r="D172" s="4" t="s">
        <v>10</v>
      </c>
      <c r="E172" s="4" t="s">
        <v>7</v>
      </c>
    </row>
    <row r="173" spans="1:5">
      <c r="A173" s="3" t="str">
        <f>HYPERLINK("https://www.foodcoach.me/recipe/creamy-tomato-crockpot-chicken-wls-recipe/","Creamy Tomato Crockpot Chicken | WLS Recipe")</f>
        <v>Creamy Tomato Crockpot Chicken | WLS Recipe</v>
      </c>
      <c r="B173" s="4" t="s">
        <v>11</v>
      </c>
      <c r="C173" s="4" t="s">
        <v>50</v>
      </c>
      <c r="D173" s="4" t="s">
        <v>6</v>
      </c>
      <c r="E173" s="4" t="s">
        <v>14</v>
      </c>
    </row>
    <row r="174" spans="1:5">
      <c r="A174" s="3" t="str">
        <f>HYPERLINK("https://www.foodcoach.me/recipe/creole-turkey-sausage-and-peppers/","Creole Turkey Sausage and Peppers")</f>
        <v>Creole Turkey Sausage and Peppers</v>
      </c>
      <c r="B174" s="4" t="s">
        <v>13</v>
      </c>
      <c r="C174" s="4" t="s">
        <v>12</v>
      </c>
      <c r="D174" s="4" t="s">
        <v>6</v>
      </c>
      <c r="E174" s="4" t="s">
        <v>7</v>
      </c>
    </row>
    <row r="175" spans="1:5">
      <c r="A175" s="3" t="str">
        <f>HYPERLINK("https://www.foodcoach.me/recipe/crispy-bacon-and-egg-salad/","Crispy Bacon and Egg Salad (in a Tomato)")</f>
        <v>Crispy Bacon and Egg Salad (in a Tomato)</v>
      </c>
      <c r="B175" s="4" t="s">
        <v>39</v>
      </c>
      <c r="C175" s="4" t="s">
        <v>9</v>
      </c>
      <c r="D175" s="4" t="s">
        <v>6</v>
      </c>
      <c r="E175" s="4" t="s">
        <v>14</v>
      </c>
    </row>
    <row r="176" spans="1:5">
      <c r="A176" s="3" t="str">
        <f>HYPERLINK("https://www.foodcoach.me/recipe/crockpot-cheese-steak-peppers/","Crockpot Cheese Steak &amp; Peppers - WLS Recipes")</f>
        <v>Crockpot Cheese Steak &amp; Peppers - WLS Recipes</v>
      </c>
      <c r="B176" s="4" t="s">
        <v>72</v>
      </c>
      <c r="C176" s="4" t="s">
        <v>50</v>
      </c>
      <c r="D176" s="4" t="s">
        <v>6</v>
      </c>
      <c r="E176" s="4" t="s">
        <v>7</v>
      </c>
    </row>
    <row r="177" spans="1:5">
      <c r="A177" s="3" t="str">
        <f>HYPERLINK("https://www.foodcoach.me/recipe/crockpot-greek-chicken/","Crockpot® Greek Chicken")</f>
        <v>Crockpot® Greek Chicken</v>
      </c>
      <c r="B177" s="4" t="s">
        <v>11</v>
      </c>
      <c r="C177" s="4" t="s">
        <v>50</v>
      </c>
      <c r="D177" s="4" t="s">
        <v>6</v>
      </c>
      <c r="E177" s="4" t="s">
        <v>7</v>
      </c>
    </row>
    <row r="178" spans="1:5">
      <c r="A178" s="3" t="str">
        <f>HYPERLINK("https://www.foodcoach.me/recipe/crockpot-pork-tenderloin-banana-peppers/","Crockpot® Pork Tenderloin and Banana Peppers")</f>
        <v>Crockpot® Pork Tenderloin and Banana Peppers</v>
      </c>
      <c r="B178" s="4" t="s">
        <v>27</v>
      </c>
      <c r="C178" s="4" t="s">
        <v>50</v>
      </c>
      <c r="D178" s="4" t="s">
        <v>6</v>
      </c>
      <c r="E178" s="4" t="s">
        <v>14</v>
      </c>
    </row>
    <row r="179" spans="1:5">
      <c r="A179" s="3" t="str">
        <f>HYPERLINK("https://www.foodcoach.me/recipe/crockpot-pulled-barbecue-chicken/","Crockpot® Pulled Barbecue Chicken")</f>
        <v>Crockpot® Pulled Barbecue Chicken</v>
      </c>
      <c r="B179" s="4" t="s">
        <v>11</v>
      </c>
      <c r="C179" s="4" t="s">
        <v>50</v>
      </c>
      <c r="D179" s="4" t="s">
        <v>6</v>
      </c>
      <c r="E179" s="4" t="s">
        <v>14</v>
      </c>
    </row>
    <row r="180" spans="1:5">
      <c r="A180" s="3" t="str">
        <f>HYPERLINK("https://www.foodcoach.me/recipe/crockpot-stuffed-chicken-breasts/","Crockpot® Stuffed Chicken Breasts - Bariatric Recipes")</f>
        <v>Crockpot® Stuffed Chicken Breasts - Bariatric Recipes</v>
      </c>
      <c r="B180" s="4" t="s">
        <v>11</v>
      </c>
      <c r="C180" s="4" t="s">
        <v>50</v>
      </c>
      <c r="D180" s="4" t="s">
        <v>6</v>
      </c>
      <c r="E180" s="4" t="s">
        <v>14</v>
      </c>
    </row>
    <row r="181" spans="1:5">
      <c r="A181" s="3" t="str">
        <f>HYPERLINK("https://www.foodcoach.me/recipe/crustless-pumpkin-cheesecake/","Crustless Pumpkin Cheesecake")</f>
        <v>Crustless Pumpkin Cheesecake</v>
      </c>
      <c r="B181" s="4" t="s">
        <v>44</v>
      </c>
      <c r="C181" s="4" t="s">
        <v>9</v>
      </c>
      <c r="D181" s="4" t="s">
        <v>52</v>
      </c>
      <c r="E181" s="4" t="s">
        <v>7</v>
      </c>
    </row>
    <row r="182" spans="1:5">
      <c r="A182" s="3" t="str">
        <f>HYPERLINK("https://www.foodcoach.me/recipe/cucumber-feta-rolls/","Cucumber Feta Rolls")</f>
        <v>Cucumber Feta Rolls</v>
      </c>
      <c r="B182" s="4" t="s">
        <v>23</v>
      </c>
      <c r="C182" s="4" t="s">
        <v>9</v>
      </c>
      <c r="D182" s="4" t="s">
        <v>10</v>
      </c>
      <c r="E182" s="4" t="s">
        <v>7</v>
      </c>
    </row>
    <row r="183" spans="1:5">
      <c r="A183" s="3" t="str">
        <f>HYPERLINK("https://www.foodcoach.me/recipe/cucumber-greek-salad/","Cucumber Greek Salad")</f>
        <v>Cucumber Greek Salad</v>
      </c>
      <c r="B183" s="4" t="s">
        <v>23</v>
      </c>
      <c r="C183" s="4" t="s">
        <v>9</v>
      </c>
      <c r="D183" s="4" t="s">
        <v>33</v>
      </c>
      <c r="E183" s="4" t="s">
        <v>7</v>
      </c>
    </row>
    <row r="184" spans="1:5">
      <c r="A184" s="3" t="str">
        <f>HYPERLINK("https://www.foodcoach.me/recipe/cucumber-mint-water/","Cucumber Mint Water")</f>
        <v>Cucumber Mint Water</v>
      </c>
      <c r="B184" s="4" t="s">
        <v>32</v>
      </c>
      <c r="C184" s="4" t="s">
        <v>9</v>
      </c>
      <c r="D184" s="4" t="s">
        <v>33</v>
      </c>
      <c r="E184" s="4" t="s">
        <v>14</v>
      </c>
    </row>
    <row r="185" spans="1:5">
      <c r="A185" s="3" t="str">
        <f>HYPERLINK("https://www.foodcoach.me/recipe/cucumber-mint-yogurt/","Cucumber Mint Yogurt - WLS Recipe")</f>
        <v>Cucumber Mint Yogurt - WLS Recipe</v>
      </c>
      <c r="B185" s="4" t="s">
        <v>76</v>
      </c>
      <c r="C185" s="4" t="s">
        <v>9</v>
      </c>
      <c r="D185" s="4" t="s">
        <v>24</v>
      </c>
      <c r="E185" s="4" t="s">
        <v>7</v>
      </c>
    </row>
    <row r="186" spans="1:5">
      <c r="A186" s="3" t="str">
        <f>HYPERLINK("https://www.foodcoach.me/recipe/deviled-egg-veggie-dip/","Deviled Egg Veggie Dip - Bariatric Friendly Appetizer")</f>
        <v>Deviled Egg Veggie Dip - Bariatric Friendly Appetizer</v>
      </c>
      <c r="B186" s="4" t="s">
        <v>39</v>
      </c>
      <c r="C186" s="4" t="s">
        <v>9</v>
      </c>
      <c r="D186" s="4" t="s">
        <v>10</v>
      </c>
      <c r="E186" s="4" t="s">
        <v>7</v>
      </c>
    </row>
    <row r="187" spans="1:5">
      <c r="A187" s="3" t="str">
        <f>HYPERLINK("https://www.foodcoach.me/recipe/dijon-bacon-chicken/","Dijon Bacon Chicken")</f>
        <v>Dijon Bacon Chicken</v>
      </c>
      <c r="B187" s="4" t="s">
        <v>48</v>
      </c>
      <c r="C187" s="4" t="s">
        <v>12</v>
      </c>
      <c r="D187" s="4" t="s">
        <v>6</v>
      </c>
      <c r="E187" s="4" t="s">
        <v>7</v>
      </c>
    </row>
    <row r="188" spans="1:5">
      <c r="A188" s="3" t="str">
        <f>HYPERLINK("https://www.foodcoach.me/recipe/dijon-chicken-thighs/","Dijon Chicken Thighs")</f>
        <v>Dijon Chicken Thighs</v>
      </c>
      <c r="B188" s="4" t="s">
        <v>11</v>
      </c>
      <c r="C188" s="4" t="s">
        <v>40</v>
      </c>
      <c r="D188" s="4" t="s">
        <v>6</v>
      </c>
      <c r="E188" s="4" t="s">
        <v>7</v>
      </c>
    </row>
    <row r="189" spans="1:5">
      <c r="A189" s="3" t="str">
        <f>HYPERLINK("https://www.foodcoach.me/recipe/dinner-fast-hamburger-salad/","Dinner FAST - Hamburger Salad")</f>
        <v>Dinner FAST - Hamburger Salad</v>
      </c>
      <c r="B189" s="4" t="s">
        <v>4</v>
      </c>
      <c r="C189" s="4" t="s">
        <v>5</v>
      </c>
      <c r="D189" s="4" t="s">
        <v>6</v>
      </c>
      <c r="E189" s="4" t="s">
        <v>7</v>
      </c>
    </row>
    <row r="190" spans="1:5">
      <c r="A190" s="3" t="str">
        <f>HYPERLINK("https://www.foodcoach.me/recipe/easy-5-ingredient-chili/","Easy 5 Ingredient Chili")</f>
        <v>Easy 5 Ingredient Chili</v>
      </c>
      <c r="B190" s="4" t="s">
        <v>4</v>
      </c>
      <c r="C190" s="4" t="s">
        <v>5</v>
      </c>
      <c r="D190" s="4" t="s">
        <v>6</v>
      </c>
      <c r="E190" s="4" t="s">
        <v>7</v>
      </c>
    </row>
    <row r="191" spans="1:5">
      <c r="A191" s="3" t="str">
        <f>HYPERLINK("https://www.foodcoach.me/recipe/easy-bbq-chicken/","Easy BBQ Chicken Legs")</f>
        <v>Easy BBQ Chicken Legs</v>
      </c>
      <c r="B191" s="4" t="s">
        <v>11</v>
      </c>
      <c r="C191" s="4" t="s">
        <v>12</v>
      </c>
      <c r="D191" s="4" t="s">
        <v>6</v>
      </c>
      <c r="E191" s="4" t="s">
        <v>7</v>
      </c>
    </row>
    <row r="192" spans="1:5">
      <c r="A192" s="3" t="str">
        <f>HYPERLINK("https://www.foodcoach.me/recipe/easy-cobb-salad-wls-recipes/","Easy Cobb Salad - WLS Recipes")</f>
        <v>Easy Cobb Salad - WLS Recipes</v>
      </c>
      <c r="B192" s="4" t="s">
        <v>11</v>
      </c>
      <c r="C192" s="4" t="s">
        <v>9</v>
      </c>
      <c r="D192" s="4" t="s">
        <v>6</v>
      </c>
      <c r="E192" s="4" t="s">
        <v>7</v>
      </c>
    </row>
    <row r="193" spans="1:5">
      <c r="A193" s="3" t="str">
        <f>HYPERLINK("https://www.foodcoach.me/recipe/easy-grilled-yellow-squash/","Easy Grilled Yellow Squash - Bariatric Recipes")</f>
        <v>Easy Grilled Yellow Squash - Bariatric Recipes</v>
      </c>
      <c r="B193" s="4" t="s">
        <v>23</v>
      </c>
      <c r="C193" s="4" t="s">
        <v>31</v>
      </c>
      <c r="D193" s="4" t="s">
        <v>34</v>
      </c>
      <c r="E193" s="4" t="s">
        <v>7</v>
      </c>
    </row>
    <row r="194" spans="1:5">
      <c r="A194" s="3" t="str">
        <f>HYPERLINK("https://www.foodcoach.me/recipe/easy-italian-meatloaf/","Easy Italian Meatloaf - Low Carb WLS Recipe")</f>
        <v>Easy Italian Meatloaf - Low Carb WLS Recipe</v>
      </c>
      <c r="B194" s="4" t="s">
        <v>4</v>
      </c>
      <c r="C194" s="4" t="s">
        <v>12</v>
      </c>
      <c r="D194" s="4" t="s">
        <v>77</v>
      </c>
      <c r="E194" s="4" t="s">
        <v>7</v>
      </c>
    </row>
    <row r="195" spans="1:5">
      <c r="A195" s="3" t="str">
        <f>HYPERLINK("https://www.foodcoach.me/recipe/easy-low-carb-taco-pie/","Easy Low-Carb Taco Pie")</f>
        <v>Easy Low-Carb Taco Pie</v>
      </c>
      <c r="B195" s="4" t="s">
        <v>30</v>
      </c>
      <c r="C195" s="4" t="s">
        <v>12</v>
      </c>
      <c r="D195" s="4" t="s">
        <v>77</v>
      </c>
      <c r="E195" s="4" t="s">
        <v>7</v>
      </c>
    </row>
    <row r="196" spans="1:5">
      <c r="A196" s="3" t="str">
        <f>HYPERLINK("https://www.foodcoach.me/recipe/easy-pesto-baked-chicken-wls-recipe/","Easy Pesto Baked Chicken - WLS Recipe")</f>
        <v>Easy Pesto Baked Chicken - WLS Recipe</v>
      </c>
      <c r="B196" s="4" t="s">
        <v>11</v>
      </c>
      <c r="C196" s="4" t="s">
        <v>12</v>
      </c>
      <c r="D196" s="4" t="s">
        <v>77</v>
      </c>
      <c r="E196" s="4" t="s">
        <v>14</v>
      </c>
    </row>
    <row r="197" spans="1:5">
      <c r="A197" s="3" t="str">
        <f>HYPERLINK("https://www.foodcoach.me/recipe/easy-slow-cooker-pulled-pork/","Easy Slow Cooker Pulled Pork")</f>
        <v>Easy Slow Cooker Pulled Pork</v>
      </c>
      <c r="B197" s="4" t="s">
        <v>27</v>
      </c>
      <c r="C197" s="4" t="s">
        <v>50</v>
      </c>
      <c r="D197" s="4" t="s">
        <v>77</v>
      </c>
      <c r="E197" s="4" t="s">
        <v>7</v>
      </c>
    </row>
    <row r="198" spans="1:5">
      <c r="A198" s="3" t="str">
        <f>HYPERLINK("https://www.foodcoach.me/recipe/easy-southwest-frittata/","Easy Southwest Frittata - Bariatric Recipes")</f>
        <v>Easy Southwest Frittata - Bariatric Recipes</v>
      </c>
      <c r="B198" s="4" t="s">
        <v>39</v>
      </c>
      <c r="C198" s="4" t="s">
        <v>5</v>
      </c>
      <c r="D198" s="4" t="s">
        <v>41</v>
      </c>
      <c r="E198" s="4" t="s">
        <v>7</v>
      </c>
    </row>
    <row r="199" spans="1:5">
      <c r="A199" s="7" t="s">
        <v>78</v>
      </c>
      <c r="B199" s="6" t="s">
        <v>4</v>
      </c>
      <c r="C199" s="6" t="s">
        <v>12</v>
      </c>
      <c r="D199" s="6" t="s">
        <v>29</v>
      </c>
      <c r="E199" s="6" t="s">
        <v>7</v>
      </c>
    </row>
    <row r="200" spans="1:5">
      <c r="A200" s="3" t="str">
        <f>HYPERLINK("https://www.foodcoach.me/recipe/easy-weeknight-taco-stew-dairy-free/","Easy Weeknight Taco Stew (Dairy Free)")</f>
        <v>Easy Weeknight Taco Stew (Dairy Free)</v>
      </c>
      <c r="B200" s="4" t="s">
        <v>30</v>
      </c>
      <c r="C200" s="4" t="s">
        <v>50</v>
      </c>
      <c r="D200" s="4" t="s">
        <v>6</v>
      </c>
      <c r="E200" s="4" t="s">
        <v>7</v>
      </c>
    </row>
    <row r="201" spans="1:5">
      <c r="A201" s="3" t="str">
        <f>HYPERLINK("https://www.foodcoach.me/recipe/edamame-hummus/","Edamame Hummus - Bariatric Snack Ideas")</f>
        <v>Edamame Hummus - Bariatric Snack Ideas</v>
      </c>
      <c r="B201" s="4" t="s">
        <v>23</v>
      </c>
      <c r="C201" s="4" t="s">
        <v>9</v>
      </c>
      <c r="D201" s="4" t="s">
        <v>10</v>
      </c>
      <c r="E201" s="4" t="s">
        <v>7</v>
      </c>
    </row>
    <row r="202" spans="1:5">
      <c r="A202" s="3" t="str">
        <f>HYPERLINK("https://www.foodcoach.me/recipe/egg-roll-bowl-wls-recipe/","Egg Roll Bowl - WLS Recipe")</f>
        <v>Egg Roll Bowl - WLS Recipe</v>
      </c>
      <c r="B202" s="4" t="s">
        <v>30</v>
      </c>
      <c r="C202" s="4" t="s">
        <v>5</v>
      </c>
      <c r="D202" s="4" t="s">
        <v>6</v>
      </c>
      <c r="E202" s="4" t="s">
        <v>14</v>
      </c>
    </row>
    <row r="203" spans="1:5">
      <c r="A203" s="7" t="s">
        <v>79</v>
      </c>
      <c r="B203" s="6"/>
      <c r="C203" s="6"/>
      <c r="D203" s="6" t="s">
        <v>75</v>
      </c>
      <c r="E203" s="6" t="s">
        <v>14</v>
      </c>
    </row>
    <row r="204" spans="1:5">
      <c r="A204" s="3" t="str">
        <f>HYPERLINK("https://www.foodcoach.me/recipe/eggs-in-a-cloud/","Eggs in a Cloud")</f>
        <v>Eggs in a Cloud</v>
      </c>
      <c r="B204" s="4" t="s">
        <v>80</v>
      </c>
      <c r="C204" s="4" t="s">
        <v>12</v>
      </c>
      <c r="D204" s="4" t="s">
        <v>41</v>
      </c>
      <c r="E204" s="4" t="s">
        <v>14</v>
      </c>
    </row>
    <row r="205" spans="1:5">
      <c r="A205" s="3" t="str">
        <f>HYPERLINK("https://www.foodcoach.me/recipe/fajita-turkey-burger/","Fajita Turkey Burger - Bariatric Recipes")</f>
        <v>Fajita Turkey Burger - Bariatric Recipes</v>
      </c>
      <c r="B205" s="4" t="s">
        <v>13</v>
      </c>
      <c r="C205" s="4" t="s">
        <v>31</v>
      </c>
      <c r="D205" s="4" t="s">
        <v>6</v>
      </c>
      <c r="E205" s="4" t="s">
        <v>7</v>
      </c>
    </row>
    <row r="206" spans="1:5">
      <c r="A206" s="3" t="str">
        <f>HYPERLINK("https://www.foodcoach.me/recipe/fall-inspired-turkey-sausage-tomato-sauce-zucchini-noodles/","Fall Inspired Turkey Sausage Tomato Sauce (with Zucchini Noodles)")</f>
        <v>Fall Inspired Turkey Sausage Tomato Sauce (with Zucchini Noodles)</v>
      </c>
      <c r="B206" s="4" t="s">
        <v>13</v>
      </c>
      <c r="C206" s="4" t="s">
        <v>5</v>
      </c>
      <c r="D206" s="4" t="s">
        <v>6</v>
      </c>
      <c r="E206" s="4" t="s">
        <v>7</v>
      </c>
    </row>
    <row r="207" spans="1:5">
      <c r="A207" s="3" t="str">
        <f>HYPERLINK("https://www.foodcoach.me/recipe/feta-tomato-omelette/","Feta Tomato Omelette")</f>
        <v>Feta Tomato Omelette</v>
      </c>
      <c r="B207" s="4" t="s">
        <v>80</v>
      </c>
      <c r="C207" s="4" t="s">
        <v>5</v>
      </c>
      <c r="D207" s="4" t="s">
        <v>41</v>
      </c>
      <c r="E207" s="4" t="s">
        <v>14</v>
      </c>
    </row>
    <row r="208" spans="1:5">
      <c r="A208" s="3" t="str">
        <f>HYPERLINK("https://www.foodcoach.me/recipe/flakey-lemon-and-garlic-fish-bariatric-pureedsoft-diet/","Flakey Lemon and Garlic Fish - Bariatric Pureed/Soft Diet")</f>
        <v>Flakey Lemon and Garlic Fish - Bariatric Pureed/Soft Diet</v>
      </c>
      <c r="B208" s="4" t="s">
        <v>43</v>
      </c>
      <c r="C208" s="4" t="s">
        <v>5</v>
      </c>
      <c r="D208" s="4" t="s">
        <v>54</v>
      </c>
      <c r="E208" s="4" t="s">
        <v>14</v>
      </c>
    </row>
    <row r="209" spans="1:5">
      <c r="A209" s="3" t="str">
        <f>HYPERLINK("https://www.foodcoach.me/recipe/flakey-taco-fish-bariatric-pureedsoft-diet/","Flakey Taco Fish - Bariatric Pureed Diet")</f>
        <v>Flakey Taco Fish - Bariatric Pureed Diet</v>
      </c>
      <c r="B209" s="4" t="s">
        <v>43</v>
      </c>
      <c r="C209" s="4" t="s">
        <v>5</v>
      </c>
      <c r="D209" s="4" t="s">
        <v>54</v>
      </c>
      <c r="E209" s="4" t="s">
        <v>14</v>
      </c>
    </row>
    <row r="210" spans="1:5">
      <c r="A210" s="3" t="str">
        <f>HYPERLINK("https://www.foodcoach.me/recipe/flank-steak-beef-brisket-wls-friendly/","Flank Steak Beef ""Brisket""")</f>
        <v>Flank Steak Beef "Brisket"</v>
      </c>
      <c r="B210" s="4" t="s">
        <v>4</v>
      </c>
      <c r="C210" s="4" t="s">
        <v>31</v>
      </c>
      <c r="D210" s="4" t="s">
        <v>6</v>
      </c>
      <c r="E210" s="4" t="s">
        <v>14</v>
      </c>
    </row>
    <row r="211" spans="1:5">
      <c r="A211" s="3" t="str">
        <f>HYPERLINK("https://www.foodcoach.me/recipe/flank-steak-with-fruit-salsa/","Flank Steak with Peach Salsa")</f>
        <v>Flank Steak with Peach Salsa</v>
      </c>
      <c r="B211" s="4" t="s">
        <v>4</v>
      </c>
      <c r="C211" s="4" t="s">
        <v>31</v>
      </c>
      <c r="D211" s="4" t="s">
        <v>6</v>
      </c>
      <c r="E211" s="4" t="s">
        <v>7</v>
      </c>
    </row>
    <row r="212" spans="1:5">
      <c r="A212" s="3" t="str">
        <f>HYPERLINK("https://www.foodcoach.me/recipe/flank-steak-with-roasted-tomatoes-and-onions-wls-recipe/","Flank Steak with Roasted Tomatoes and Onions")</f>
        <v>Flank Steak with Roasted Tomatoes and Onions</v>
      </c>
      <c r="B212" s="4" t="s">
        <v>4</v>
      </c>
      <c r="C212" s="4" t="s">
        <v>5</v>
      </c>
      <c r="D212" s="4" t="s">
        <v>6</v>
      </c>
      <c r="E212" s="4" t="s">
        <v>7</v>
      </c>
    </row>
    <row r="213" spans="1:5">
      <c r="A213" s="3" t="str">
        <f>HYPERLINK("https://www.foodcoach.me/recipe/foil-pack-green-beans/","Foil Pack Green Beans (Private)")</f>
        <v>Foil Pack Green Beans (Private)</v>
      </c>
      <c r="B213" s="4" t="s">
        <v>23</v>
      </c>
      <c r="C213" s="4" t="s">
        <v>31</v>
      </c>
      <c r="D213" s="4" t="s">
        <v>34</v>
      </c>
      <c r="E213" s="4" t="s">
        <v>7</v>
      </c>
    </row>
    <row r="214" spans="1:5">
      <c r="A214" s="3" t="str">
        <f>HYPERLINK("https://www.foodcoach.me/recipe/french-onion-soup-meatloaf/","French Onion Soup Meatloaf")</f>
        <v>French Onion Soup Meatloaf</v>
      </c>
      <c r="B214" s="4" t="s">
        <v>4</v>
      </c>
      <c r="C214" s="4" t="s">
        <v>12</v>
      </c>
      <c r="D214" s="4" t="s">
        <v>6</v>
      </c>
      <c r="E214" s="4" t="s">
        <v>7</v>
      </c>
    </row>
    <row r="215" spans="1:5">
      <c r="A215" s="3" t="str">
        <f>HYPERLINK("https://www.foodcoach.me/recipe/fresh-yummy-salsa-super-fast-super-easy/","Fresh Yummy Salsa")</f>
        <v>Fresh Yummy Salsa</v>
      </c>
      <c r="B215" s="4" t="s">
        <v>23</v>
      </c>
      <c r="C215" s="4" t="s">
        <v>9</v>
      </c>
      <c r="D215" s="4" t="s">
        <v>34</v>
      </c>
      <c r="E215" s="4" t="s">
        <v>7</v>
      </c>
    </row>
    <row r="216" spans="1:5">
      <c r="A216" s="3" t="str">
        <f>HYPERLINK("https://www.foodcoach.me/recipe/fried-eggs-on-parmesan-cheese-crust/","Fried Eggs on Parmesan Cheese Crust")</f>
        <v>Fried Eggs on Parmesan Cheese Crust</v>
      </c>
      <c r="B216" s="4" t="s">
        <v>39</v>
      </c>
      <c r="C216" s="4" t="s">
        <v>5</v>
      </c>
      <c r="D216" s="4" t="s">
        <v>41</v>
      </c>
      <c r="E216" s="4" t="s">
        <v>7</v>
      </c>
    </row>
    <row r="217" spans="1:5">
      <c r="A217" s="3" t="str">
        <f>HYPERLINK("https://www.foodcoach.me/recipe/frozen-peanut-butter-bites/","Frozen Peanut Butter Bites")</f>
        <v>Frozen Peanut Butter Bites</v>
      </c>
      <c r="B217" s="4" t="s">
        <v>51</v>
      </c>
      <c r="C217" s="4" t="s">
        <v>9</v>
      </c>
      <c r="D217" s="4" t="s">
        <v>52</v>
      </c>
      <c r="E217" s="4" t="s">
        <v>14</v>
      </c>
    </row>
    <row r="218" spans="1:5">
      <c r="A218" s="3" t="str">
        <f>HYPERLINK("https://www.foodcoach.me/recipe/garlic-basil-shrimp-tomatoes/","Garlic &amp; Basil Shrimp with Tomatoes - WLS Recipes")</f>
        <v>Garlic &amp; Basil Shrimp with Tomatoes - WLS Recipes</v>
      </c>
      <c r="B218" s="4" t="s">
        <v>21</v>
      </c>
      <c r="C218" s="4" t="s">
        <v>40</v>
      </c>
      <c r="D218" s="4" t="s">
        <v>6</v>
      </c>
      <c r="E218" s="4" t="s">
        <v>7</v>
      </c>
    </row>
    <row r="219" spans="1:5">
      <c r="A219" s="3" t="str">
        <f>HYPERLINK("https://www.foodcoach.me/recipe/garlic-herb-shrimp-with-tomatoes/","Garlic &amp; Herb Shrimp with Tomatoes")</f>
        <v>Garlic &amp; Herb Shrimp with Tomatoes</v>
      </c>
      <c r="B219" s="4" t="s">
        <v>21</v>
      </c>
      <c r="C219" s="4" t="s">
        <v>40</v>
      </c>
      <c r="D219" s="4" t="s">
        <v>6</v>
      </c>
      <c r="E219" s="4" t="s">
        <v>7</v>
      </c>
    </row>
    <row r="220" spans="1:5">
      <c r="A220" s="3" t="str">
        <f>HYPERLINK("https://www.foodcoach.me/recipe/garlic-lemon-stuffed-chicken-breast/","Garlic &amp; Lemon Stuffed Chicken Breast - WLS Recipe")</f>
        <v>Garlic &amp; Lemon Stuffed Chicken Breast - WLS Recipe</v>
      </c>
      <c r="B220" s="4" t="s">
        <v>11</v>
      </c>
      <c r="C220" s="4" t="s">
        <v>12</v>
      </c>
      <c r="D220" s="4" t="s">
        <v>77</v>
      </c>
      <c r="E220" s="4" t="s">
        <v>7</v>
      </c>
    </row>
    <row r="221" spans="1:5">
      <c r="A221" s="3" t="str">
        <f>HYPERLINK("https://www.foodcoach.me/recipe/garlic-nut-encrusted-tilapia-easy-wls-recipe/","Garlic &amp; Nut Encrusted Tilapia - Easy WLS Recipe")</f>
        <v>Garlic &amp; Nut Encrusted Tilapia - Easy WLS Recipe</v>
      </c>
      <c r="B221" s="4" t="s">
        <v>21</v>
      </c>
      <c r="C221" s="4" t="s">
        <v>12</v>
      </c>
      <c r="D221" s="4" t="s">
        <v>77</v>
      </c>
      <c r="E221" s="4" t="s">
        <v>14</v>
      </c>
    </row>
    <row r="222" spans="1:5">
      <c r="A222" s="3" t="str">
        <f>HYPERLINK("https://www.foodcoach.me/recipe/garlic-lemon-chicken/","Garlic Lemon Chicken - Bariatric Recipe")</f>
        <v>Garlic Lemon Chicken - Bariatric Recipe</v>
      </c>
      <c r="B222" s="4" t="s">
        <v>11</v>
      </c>
      <c r="C222" s="4" t="s">
        <v>12</v>
      </c>
      <c r="D222" s="4" t="s">
        <v>6</v>
      </c>
      <c r="E222" s="4" t="s">
        <v>7</v>
      </c>
    </row>
    <row r="223" spans="1:5">
      <c r="A223" s="3" t="str">
        <f>HYPERLINK("https://www.foodcoach.me/recipe/garlic-shrimp-and-zucchini-noodles/","Garlic Shrimp and Zucchini Noodles")</f>
        <v>Garlic Shrimp and Zucchini Noodles</v>
      </c>
      <c r="B223" s="4" t="s">
        <v>21</v>
      </c>
      <c r="C223" s="4" t="s">
        <v>5</v>
      </c>
      <c r="D223" s="4" t="s">
        <v>6</v>
      </c>
      <c r="E223" s="4" t="s">
        <v>7</v>
      </c>
    </row>
    <row r="224" spans="1:5">
      <c r="A224" s="3" t="str">
        <f>HYPERLINK("https://www.foodcoach.me/recipe/garlic-parmesan-green-beans/","Garlic-Parmesan Green Beans")</f>
        <v>Garlic-Parmesan Green Beans</v>
      </c>
      <c r="B224" s="4" t="s">
        <v>23</v>
      </c>
      <c r="C224" s="4" t="s">
        <v>5</v>
      </c>
      <c r="D224" s="4" t="s">
        <v>34</v>
      </c>
      <c r="E224" s="4" t="s">
        <v>7</v>
      </c>
    </row>
    <row r="225" spans="1:5">
      <c r="A225" s="7" t="s">
        <v>81</v>
      </c>
      <c r="B225" s="6" t="s">
        <v>11</v>
      </c>
      <c r="C225" s="6" t="s">
        <v>9</v>
      </c>
      <c r="D225" s="6" t="s">
        <v>75</v>
      </c>
      <c r="E225" s="6" t="s">
        <v>7</v>
      </c>
    </row>
    <row r="226" spans="1:5">
      <c r="A226" s="3" t="str">
        <f>HYPERLINK("https://www.foodcoach.me/recipe/greek-chicken-chili-beans/","Greek Chicken Chili (no beans)")</f>
        <v>Greek Chicken Chili (no beans)</v>
      </c>
      <c r="B226" s="4" t="s">
        <v>11</v>
      </c>
      <c r="C226" s="4" t="s">
        <v>40</v>
      </c>
      <c r="D226" s="4" t="s">
        <v>6</v>
      </c>
      <c r="E226" s="4" t="s">
        <v>14</v>
      </c>
    </row>
    <row r="227" spans="1:5">
      <c r="A227" s="3" t="str">
        <f>HYPERLINK("https://www.foodcoach.me/recipe/greek-chicken-salad/","Greek Chicken Salad - Bariatric Recipes")</f>
        <v>Greek Chicken Salad - Bariatric Recipes</v>
      </c>
      <c r="B227" s="4" t="s">
        <v>11</v>
      </c>
      <c r="C227" s="4" t="s">
        <v>9</v>
      </c>
      <c r="D227" s="4" t="s">
        <v>6</v>
      </c>
      <c r="E227" s="4" t="s">
        <v>7</v>
      </c>
    </row>
    <row r="228" spans="1:5">
      <c r="A228" s="3" t="str">
        <f>HYPERLINK("https://www.foodcoach.me/recipe/greek-green-beans/","Greek Green Beans - WLS Recipe")</f>
        <v>Greek Green Beans - WLS Recipe</v>
      </c>
      <c r="B228" s="4" t="s">
        <v>23</v>
      </c>
      <c r="C228" s="4" t="s">
        <v>5</v>
      </c>
      <c r="D228" s="4" t="s">
        <v>34</v>
      </c>
      <c r="E228" s="4" t="s">
        <v>7</v>
      </c>
    </row>
    <row r="229" spans="1:5">
      <c r="A229" s="3" t="str">
        <f>HYPERLINK("https://www.foodcoach.me/recipe/greek-grilled-chicken-olive-salsa/","Greek Grilled Chicken &amp; Olive Salsa - WLS Recipes")</f>
        <v>Greek Grilled Chicken &amp; Olive Salsa - WLS Recipes</v>
      </c>
      <c r="B229" s="4" t="s">
        <v>11</v>
      </c>
      <c r="C229" s="4" t="s">
        <v>31</v>
      </c>
      <c r="D229" s="4" t="s">
        <v>6</v>
      </c>
      <c r="E229" s="4" t="s">
        <v>7</v>
      </c>
    </row>
    <row r="230" spans="1:5">
      <c r="A230" s="3" t="str">
        <f>HYPERLINK("https://www.foodcoach.me/recipe/greek-salad-with-chicken-breast/","Greek Salad with Chicken Breast - WLS Recipes")</f>
        <v>Greek Salad with Chicken Breast - WLS Recipes</v>
      </c>
      <c r="B230" s="4" t="s">
        <v>11</v>
      </c>
      <c r="C230" s="4" t="s">
        <v>9</v>
      </c>
      <c r="D230" s="4" t="s">
        <v>6</v>
      </c>
      <c r="E230" s="4" t="s">
        <v>7</v>
      </c>
    </row>
    <row r="231" spans="1:5">
      <c r="A231" s="8" t="s">
        <v>82</v>
      </c>
      <c r="B231" s="4" t="s">
        <v>4</v>
      </c>
      <c r="C231" s="4" t="s">
        <v>5</v>
      </c>
      <c r="D231" s="4" t="s">
        <v>29</v>
      </c>
      <c r="E231" s="4" t="s">
        <v>14</v>
      </c>
    </row>
    <row r="232" spans="1:5">
      <c r="A232" s="3" t="str">
        <f>HYPERLINK("https://www.foodcoach.me/recipe/greek-style-omelet/","Greek Style Omelet - WLS Recipe")</f>
        <v>Greek Style Omelet - WLS Recipe</v>
      </c>
      <c r="B232" s="4" t="s">
        <v>39</v>
      </c>
      <c r="C232" s="4" t="s">
        <v>5</v>
      </c>
      <c r="D232" s="4" t="s">
        <v>6</v>
      </c>
      <c r="E232" s="4" t="s">
        <v>7</v>
      </c>
    </row>
    <row r="233" spans="1:5">
      <c r="A233" s="3" t="str">
        <f>HYPERLINK("https://www.foodcoach.me/recipe/greek-turkey-burgers/","Greek Turkey Burgers - Bariatric Recipes")</f>
        <v>Greek Turkey Burgers - Bariatric Recipes</v>
      </c>
      <c r="B233" s="4" t="s">
        <v>13</v>
      </c>
      <c r="C233" s="4" t="s">
        <v>5</v>
      </c>
      <c r="D233" s="4" t="s">
        <v>6</v>
      </c>
      <c r="E233" s="4" t="s">
        <v>7</v>
      </c>
    </row>
    <row r="234" spans="1:5">
      <c r="A234" s="3" t="str">
        <f>HYPERLINK("https://www.foodcoach.me/recipe/greek-yogurt-parfait/","Greek Yogurt Parfait")</f>
        <v>Greek Yogurt Parfait</v>
      </c>
      <c r="B234" s="4" t="s">
        <v>83</v>
      </c>
      <c r="C234" s="4" t="s">
        <v>9</v>
      </c>
      <c r="D234" s="4" t="s">
        <v>41</v>
      </c>
      <c r="E234" s="4" t="s">
        <v>7</v>
      </c>
    </row>
    <row r="235" spans="1:5">
      <c r="A235" s="3" t="str">
        <f>HYPERLINK("https://www.foodcoach.me/recipe/green-enchilada-black-bean-puree-bariatric-pureed-diet/","Green Enchilada Black Bean Puree - Bariatric Pureed Diet")</f>
        <v>Green Enchilada Black Bean Puree - Bariatric Pureed Diet</v>
      </c>
      <c r="B235" s="4" t="s">
        <v>59</v>
      </c>
      <c r="C235" s="4" t="s">
        <v>5</v>
      </c>
      <c r="D235" s="4" t="s">
        <v>54</v>
      </c>
      <c r="E235" s="4" t="s">
        <v>14</v>
      </c>
    </row>
    <row r="236" spans="1:5">
      <c r="A236" s="9" t="s">
        <v>84</v>
      </c>
      <c r="B236" s="4" t="s">
        <v>27</v>
      </c>
      <c r="C236" s="4" t="s">
        <v>85</v>
      </c>
      <c r="D236" s="4" t="s">
        <v>29</v>
      </c>
      <c r="E236" s="4" t="s">
        <v>7</v>
      </c>
    </row>
    <row r="237" spans="1:5">
      <c r="A237" s="7" t="s">
        <v>86</v>
      </c>
      <c r="B237" s="6" t="s">
        <v>27</v>
      </c>
      <c r="C237" s="6" t="s">
        <v>47</v>
      </c>
      <c r="D237" s="6" t="s">
        <v>29</v>
      </c>
      <c r="E237" s="6" t="s">
        <v>7</v>
      </c>
    </row>
    <row r="238" spans="1:5">
      <c r="A238" s="3" t="str">
        <f>HYPERLINK("https://www.foodcoach.me/recipe/green-smoothie-protein-shake/","Green Smoothie Protein Shake")</f>
        <v>Green Smoothie Protein Shake</v>
      </c>
      <c r="B238" s="4" t="s">
        <v>32</v>
      </c>
      <c r="C238" s="4" t="s">
        <v>9</v>
      </c>
      <c r="D238" s="4" t="s">
        <v>33</v>
      </c>
      <c r="E238" s="4" t="s">
        <v>7</v>
      </c>
    </row>
    <row r="239" spans="1:5">
      <c r="A239" s="3" t="str">
        <f>HYPERLINK("https://www.foodcoach.me/recipe/grilled-asparagus/","Grilled Asparagus")</f>
        <v>Grilled Asparagus</v>
      </c>
      <c r="B239" s="4" t="s">
        <v>55</v>
      </c>
      <c r="C239" s="4" t="s">
        <v>31</v>
      </c>
      <c r="D239" s="4" t="s">
        <v>34</v>
      </c>
      <c r="E239" s="4" t="s">
        <v>14</v>
      </c>
    </row>
    <row r="240" spans="1:5">
      <c r="A240" s="3" t="str">
        <f>HYPERLINK("https://www.foodcoach.me/recipe/grilled-balsamic-garlic-pork-tenderloin/","Grilled Balsamic Garlic Pork Tenderloin")</f>
        <v>Grilled Balsamic Garlic Pork Tenderloin</v>
      </c>
      <c r="B240" s="4" t="s">
        <v>27</v>
      </c>
      <c r="C240" s="4" t="s">
        <v>12</v>
      </c>
      <c r="D240" s="4" t="s">
        <v>6</v>
      </c>
      <c r="E240" s="4" t="s">
        <v>7</v>
      </c>
    </row>
    <row r="241" spans="1:5">
      <c r="A241" s="3" t="str">
        <f>HYPERLINK("https://www.foodcoach.me/recipe/grilled-barbecue-meatloaf/","Grilled Barbecue Meatloaf - Low Carb WLS Recipe")</f>
        <v>Grilled Barbecue Meatloaf - Low Carb WLS Recipe</v>
      </c>
      <c r="B241" s="4" t="s">
        <v>4</v>
      </c>
      <c r="C241" s="4" t="s">
        <v>31</v>
      </c>
      <c r="D241" s="4" t="s">
        <v>6</v>
      </c>
      <c r="E241" s="4" t="s">
        <v>7</v>
      </c>
    </row>
    <row r="242" spans="1:5">
      <c r="A242" s="3" t="str">
        <f>HYPERLINK("https://www.foodcoach.me/recipe/grilled-buffalo-chicken-breasts-wls-recipe/","Grilled Buffalo Chicken Breasts - WLS Recipe")</f>
        <v>Grilled Buffalo Chicken Breasts - WLS Recipe</v>
      </c>
      <c r="B242" s="4" t="s">
        <v>11</v>
      </c>
      <c r="C242" s="4" t="s">
        <v>31</v>
      </c>
      <c r="D242" s="4" t="s">
        <v>6</v>
      </c>
      <c r="E242" s="4" t="s">
        <v>14</v>
      </c>
    </row>
    <row r="243" spans="1:5">
      <c r="A243" s="3" t="str">
        <f>HYPERLINK("https://www.foodcoach.me/recipe/grilled-dijon-chicken-burgers/","Grilled Dijon Chicken Burgers - WLS Recipes")</f>
        <v>Grilled Dijon Chicken Burgers - WLS Recipes</v>
      </c>
      <c r="B243" s="4" t="s">
        <v>11</v>
      </c>
      <c r="C243" s="4" t="s">
        <v>31</v>
      </c>
      <c r="D243" s="4" t="s">
        <v>6</v>
      </c>
      <c r="E243" s="4" t="s">
        <v>7</v>
      </c>
    </row>
    <row r="244" spans="1:5">
      <c r="A244" s="3" t="str">
        <f>HYPERLINK("https://www.foodcoach.me/recipe/grilled-parmesan-turkey-burgers/","Grilled Parmesan Turkey Burgers")</f>
        <v>Grilled Parmesan Turkey Burgers</v>
      </c>
      <c r="B244" s="4" t="s">
        <v>13</v>
      </c>
      <c r="C244" s="4" t="s">
        <v>31</v>
      </c>
      <c r="D244" s="4" t="s">
        <v>6</v>
      </c>
      <c r="E244" s="4" t="s">
        <v>7</v>
      </c>
    </row>
    <row r="245" spans="1:5">
      <c r="A245" s="3" t="str">
        <f>HYPERLINK("https://www.foodcoach.me/recipe/grilled-rosemary-shrimp-tomatoes/","Grilled Rosemary Shrimp &amp; Tomatoes")</f>
        <v>Grilled Rosemary Shrimp &amp; Tomatoes</v>
      </c>
      <c r="B245" s="4" t="s">
        <v>21</v>
      </c>
      <c r="C245" s="4" t="s">
        <v>31</v>
      </c>
      <c r="D245" s="4" t="s">
        <v>6</v>
      </c>
      <c r="E245" s="4" t="s">
        <v>7</v>
      </c>
    </row>
    <row r="246" spans="1:5">
      <c r="A246" s="3" t="str">
        <f>HYPERLINK("https://www.foodcoach.me/recipe/grilled-sausage-pepper-skewers/","Grilled Sausage &amp; Pepper Skewers")</f>
        <v>Grilled Sausage &amp; Pepper Skewers</v>
      </c>
      <c r="B246" s="4" t="s">
        <v>13</v>
      </c>
      <c r="C246" s="4" t="s">
        <v>31</v>
      </c>
      <c r="D246" s="4" t="s">
        <v>6</v>
      </c>
      <c r="E246" s="4" t="s">
        <v>7</v>
      </c>
    </row>
    <row r="247" spans="1:5">
      <c r="A247" s="3" t="str">
        <f>HYPERLINK("https://www.foodcoach.me/recipe/grilled-steak-balsamic-roasted-tomatoes/","Grilled Steak with Balsamic Roasted Tomatoes - WLS Recipe")</f>
        <v>Grilled Steak with Balsamic Roasted Tomatoes - WLS Recipe</v>
      </c>
      <c r="B247" s="4" t="s">
        <v>4</v>
      </c>
      <c r="C247" s="4" t="s">
        <v>31</v>
      </c>
      <c r="D247" s="4" t="s">
        <v>6</v>
      </c>
      <c r="E247" s="4" t="s">
        <v>7</v>
      </c>
    </row>
    <row r="248" spans="1:5">
      <c r="A248" s="7" t="s">
        <v>87</v>
      </c>
      <c r="B248" s="6" t="s">
        <v>23</v>
      </c>
      <c r="C248" s="6" t="s">
        <v>31</v>
      </c>
      <c r="D248" s="6" t="s">
        <v>24</v>
      </c>
      <c r="E248" s="6" t="s">
        <v>7</v>
      </c>
    </row>
    <row r="249" spans="1:5">
      <c r="A249" s="7" t="s">
        <v>88</v>
      </c>
      <c r="B249" s="6" t="s">
        <v>30</v>
      </c>
      <c r="C249" s="6" t="s">
        <v>12</v>
      </c>
      <c r="D249" s="6" t="s">
        <v>29</v>
      </c>
      <c r="E249" s="6" t="s">
        <v>7</v>
      </c>
    </row>
    <row r="250" spans="1:5">
      <c r="A250" s="3" t="str">
        <f>HYPERLINK("https://www.foodcoach.me/recipe/hint-orange-vanilla-protein-shake/","Hint of Orange Vanilla Protein Shake")</f>
        <v>Hint of Orange Vanilla Protein Shake</v>
      </c>
      <c r="B250" s="4" t="s">
        <v>32</v>
      </c>
      <c r="C250" s="4" t="s">
        <v>9</v>
      </c>
      <c r="D250" s="4" t="s">
        <v>33</v>
      </c>
      <c r="E250" s="4" t="s">
        <v>7</v>
      </c>
    </row>
    <row r="251" spans="1:5">
      <c r="A251" s="3" t="str">
        <f>HYPERLINK("https://www.foodcoach.me/recipe/honey-dijon-pork-tenderloin/","Honey Dijon Pork Tenderloin")</f>
        <v>Honey Dijon Pork Tenderloin</v>
      </c>
      <c r="B251" s="4" t="s">
        <v>61</v>
      </c>
      <c r="C251" s="4" t="s">
        <v>12</v>
      </c>
      <c r="D251" s="4" t="s">
        <v>6</v>
      </c>
      <c r="E251" s="4" t="s">
        <v>14</v>
      </c>
    </row>
    <row r="252" spans="1:5">
      <c r="A252" s="8" t="s">
        <v>89</v>
      </c>
      <c r="B252" s="4" t="s">
        <v>61</v>
      </c>
      <c r="C252" s="4" t="s">
        <v>5</v>
      </c>
      <c r="D252" s="4" t="s">
        <v>29</v>
      </c>
      <c r="E252" s="4" t="s">
        <v>7</v>
      </c>
    </row>
    <row r="253" spans="1:5">
      <c r="A253" s="3" t="str">
        <f>HYPERLINK("https://www.foodcoach.me/recipe/honey-mustard-lime-pork-chops/","Honey Mustard &amp; Lime Pork Chops")</f>
        <v>Honey Mustard &amp; Lime Pork Chops</v>
      </c>
      <c r="B253" s="4" t="s">
        <v>27</v>
      </c>
      <c r="C253" s="4" t="s">
        <v>31</v>
      </c>
      <c r="D253" s="4" t="s">
        <v>6</v>
      </c>
      <c r="E253" s="4" t="s">
        <v>7</v>
      </c>
    </row>
    <row r="254" spans="1:5">
      <c r="A254" s="3" t="str">
        <f>HYPERLINK("https://www.foodcoach.me/recipe/honey-mustard-roasted-brussel-sprouts/","Honey Mustard Roasted Brussel Sprouts")</f>
        <v>Honey Mustard Roasted Brussel Sprouts</v>
      </c>
      <c r="B254" s="4" t="s">
        <v>55</v>
      </c>
      <c r="C254" s="4" t="s">
        <v>12</v>
      </c>
      <c r="D254" s="4" t="s">
        <v>34</v>
      </c>
      <c r="E254" s="4" t="s">
        <v>7</v>
      </c>
    </row>
    <row r="255" spans="1:5">
      <c r="A255" s="7" t="s">
        <v>90</v>
      </c>
      <c r="B255" s="6" t="s">
        <v>11</v>
      </c>
      <c r="C255" s="6" t="s">
        <v>12</v>
      </c>
      <c r="D255" s="6" t="s">
        <v>29</v>
      </c>
      <c r="E255" s="6" t="s">
        <v>7</v>
      </c>
    </row>
    <row r="256" spans="1:5">
      <c r="A256" s="3" t="str">
        <f>HYPERLINK("https://www.foodcoach.me/recipe/hummus-crusted-pork-tenderloin/","Hummus Crusted Pork Tenderloin")</f>
        <v>Hummus Crusted Pork Tenderloin</v>
      </c>
      <c r="B256" s="4" t="s">
        <v>61</v>
      </c>
      <c r="C256" s="4" t="s">
        <v>12</v>
      </c>
      <c r="D256" s="4" t="s">
        <v>6</v>
      </c>
      <c r="E256" s="4" t="s">
        <v>14</v>
      </c>
    </row>
    <row r="257" spans="1:5">
      <c r="A257" s="3" t="str">
        <f>HYPERLINK("https://www.foodcoach.me/recipe/iced-rooibos-mint-tea/","Iced Rooibos Mint Tea")</f>
        <v>Iced Rooibos Mint Tea</v>
      </c>
      <c r="B257" s="4" t="s">
        <v>32</v>
      </c>
      <c r="C257" s="4" t="s">
        <v>9</v>
      </c>
      <c r="D257" s="4" t="s">
        <v>33</v>
      </c>
      <c r="E257" s="4" t="s">
        <v>14</v>
      </c>
    </row>
    <row r="258" spans="1:5">
      <c r="A258" s="3" t="str">
        <f>HYPERLINK("https://www.foodcoach.me/recipe/iced-vanilla-chai-tea-with-protein/","Iced Vanilla Chai Tea (with Protein)")</f>
        <v>Iced Vanilla Chai Tea (with Protein)</v>
      </c>
      <c r="B258" s="4" t="s">
        <v>16</v>
      </c>
      <c r="C258" s="4" t="s">
        <v>9</v>
      </c>
      <c r="D258" s="4" t="s">
        <v>33</v>
      </c>
      <c r="E258" s="4" t="s">
        <v>14</v>
      </c>
    </row>
    <row r="259" spans="1:5">
      <c r="A259" s="7" t="s">
        <v>91</v>
      </c>
      <c r="B259" s="6" t="s">
        <v>11</v>
      </c>
      <c r="C259" s="6" t="s">
        <v>47</v>
      </c>
      <c r="D259" s="6" t="s">
        <v>29</v>
      </c>
      <c r="E259" s="6" t="s">
        <v>14</v>
      </c>
    </row>
    <row r="260" spans="1:5">
      <c r="A260" s="10" t="s">
        <v>92</v>
      </c>
      <c r="B260" s="4" t="s">
        <v>27</v>
      </c>
      <c r="C260" s="4" t="s">
        <v>47</v>
      </c>
      <c r="D260" s="4" t="s">
        <v>6</v>
      </c>
      <c r="E260" s="4" t="s">
        <v>14</v>
      </c>
    </row>
    <row r="261" spans="1:5">
      <c r="A261" s="11" t="s">
        <v>93</v>
      </c>
      <c r="B261" s="6"/>
      <c r="C261" s="6"/>
      <c r="D261" s="6" t="s">
        <v>29</v>
      </c>
      <c r="E261" s="6"/>
    </row>
    <row r="262" spans="1:5">
      <c r="A262" s="7" t="s">
        <v>94</v>
      </c>
      <c r="B262" s="6" t="s">
        <v>95</v>
      </c>
      <c r="C262" s="6" t="s">
        <v>47</v>
      </c>
      <c r="D262" s="6" t="s">
        <v>41</v>
      </c>
      <c r="E262" s="6" t="s">
        <v>7</v>
      </c>
    </row>
    <row r="263" spans="1:5">
      <c r="A263" s="7" t="s">
        <v>96</v>
      </c>
      <c r="B263" s="6" t="s">
        <v>11</v>
      </c>
      <c r="C263" s="6" t="s">
        <v>47</v>
      </c>
      <c r="D263" s="6" t="s">
        <v>29</v>
      </c>
      <c r="E263" s="6" t="s">
        <v>7</v>
      </c>
    </row>
    <row r="264" spans="1:5">
      <c r="A264" s="7" t="s">
        <v>97</v>
      </c>
      <c r="B264" s="6" t="s">
        <v>4</v>
      </c>
      <c r="C264" s="6" t="s">
        <v>47</v>
      </c>
      <c r="D264" s="6" t="s">
        <v>29</v>
      </c>
      <c r="E264" s="6" t="s">
        <v>14</v>
      </c>
    </row>
    <row r="265" spans="1:5">
      <c r="A265" s="7" t="s">
        <v>98</v>
      </c>
      <c r="B265" s="6" t="s">
        <v>4</v>
      </c>
      <c r="C265" s="6" t="s">
        <v>47</v>
      </c>
      <c r="D265" s="6" t="s">
        <v>29</v>
      </c>
      <c r="E265" s="6" t="s">
        <v>14</v>
      </c>
    </row>
    <row r="266" spans="1:5">
      <c r="A266" s="3" t="str">
        <f>HYPERLINK("https://www.foodcoach.me/recipe/instant-pot-greek-chicken/","Instant Pot Greek Chicken")</f>
        <v>Instant Pot Greek Chicken</v>
      </c>
      <c r="B266" s="4" t="s">
        <v>11</v>
      </c>
      <c r="C266" s="4" t="s">
        <v>50</v>
      </c>
      <c r="D266" s="4" t="s">
        <v>6</v>
      </c>
      <c r="E266" s="4" t="s">
        <v>7</v>
      </c>
    </row>
    <row r="267" spans="1:5">
      <c r="A267" s="7" t="s">
        <v>99</v>
      </c>
      <c r="B267" s="6" t="s">
        <v>11</v>
      </c>
      <c r="C267" s="6" t="s">
        <v>47</v>
      </c>
      <c r="D267" s="6" t="s">
        <v>29</v>
      </c>
      <c r="E267" s="6" t="s">
        <v>14</v>
      </c>
    </row>
    <row r="268" spans="1:5">
      <c r="A268" s="7" t="s">
        <v>100</v>
      </c>
      <c r="B268" s="6" t="s">
        <v>27</v>
      </c>
      <c r="C268" s="6" t="s">
        <v>47</v>
      </c>
      <c r="D268" s="6" t="s">
        <v>29</v>
      </c>
      <c r="E268" s="6" t="s">
        <v>14</v>
      </c>
    </row>
    <row r="269" spans="1:5">
      <c r="A269" s="7" t="s">
        <v>101</v>
      </c>
      <c r="B269" s="6" t="s">
        <v>27</v>
      </c>
      <c r="C269" s="6" t="s">
        <v>85</v>
      </c>
      <c r="D269" s="6" t="s">
        <v>29</v>
      </c>
      <c r="E269" s="6" t="s">
        <v>7</v>
      </c>
    </row>
    <row r="270" spans="1:5">
      <c r="A270" s="3" t="str">
        <f>HYPERLINK("https://www.foodcoach.me/recipe/instant-pot-roast-and-carrots/","Instant Pot Roast and Carrots")</f>
        <v>Instant Pot Roast and Carrots</v>
      </c>
      <c r="B270" s="4" t="s">
        <v>30</v>
      </c>
      <c r="C270" s="4" t="s">
        <v>47</v>
      </c>
      <c r="D270" s="4" t="s">
        <v>6</v>
      </c>
      <c r="E270" s="4" t="s">
        <v>14</v>
      </c>
    </row>
    <row r="271" spans="1:5">
      <c r="A271" s="7" t="s">
        <v>102</v>
      </c>
      <c r="B271" s="6" t="s">
        <v>11</v>
      </c>
      <c r="C271" s="6" t="s">
        <v>47</v>
      </c>
      <c r="D271" s="6" t="s">
        <v>29</v>
      </c>
      <c r="E271" s="6" t="s">
        <v>14</v>
      </c>
    </row>
    <row r="272" spans="1:5">
      <c r="A272" s="7" t="s">
        <v>103</v>
      </c>
      <c r="B272" s="6" t="s">
        <v>13</v>
      </c>
      <c r="C272" s="6" t="s">
        <v>47</v>
      </c>
      <c r="D272" s="6" t="s">
        <v>29</v>
      </c>
      <c r="E272" s="6" t="s">
        <v>14</v>
      </c>
    </row>
    <row r="273" spans="1:5">
      <c r="A273" s="3" t="str">
        <f>HYPERLINK("https://www.foodcoach.me/recipe/instant-pot-turkey-spaghetti-with-zucchini-noodles/","Instant Pot Turkey Spaghetti with Zucchini Noodles")</f>
        <v>Instant Pot Turkey Spaghetti with Zucchini Noodles</v>
      </c>
      <c r="B273" s="4" t="s">
        <v>13</v>
      </c>
      <c r="C273" s="4" t="s">
        <v>50</v>
      </c>
      <c r="D273" s="4" t="s">
        <v>6</v>
      </c>
      <c r="E273" s="4" t="s">
        <v>14</v>
      </c>
    </row>
    <row r="274" spans="1:5">
      <c r="A274" s="3" t="str">
        <f>HYPERLINK("https://www.foodcoach.me/recipe/instant-pot-turkey-spaghetti-with-zucchini-noodles/","Instant Pot Turkey Zucchini Noodles")</f>
        <v>Instant Pot Turkey Zucchini Noodles</v>
      </c>
      <c r="B274" s="4" t="s">
        <v>104</v>
      </c>
      <c r="C274" s="4" t="s">
        <v>85</v>
      </c>
      <c r="D274" s="4" t="s">
        <v>6</v>
      </c>
      <c r="E274" s="4" t="s">
        <v>14</v>
      </c>
    </row>
    <row r="275" spans="1:5">
      <c r="A275" s="3" t="str">
        <f>HYPERLINK("https://www.foodcoach.me/recipe/italian-chicken-puree-bariatric-pureed-diet/","Italian Chicken Puree - Bariatric Pureed Diet")</f>
        <v>Italian Chicken Puree - Bariatric Pureed Diet</v>
      </c>
      <c r="B275" s="4" t="s">
        <v>48</v>
      </c>
      <c r="C275" s="4" t="s">
        <v>9</v>
      </c>
      <c r="D275" s="4" t="s">
        <v>54</v>
      </c>
      <c r="E275" s="4" t="s">
        <v>14</v>
      </c>
    </row>
    <row r="276" spans="1:5">
      <c r="A276" s="3" t="str">
        <f>HYPERLINK("https://www.foodcoach.me/recipe/wls-recipe-spicy-egg-bake/","Italian Poached Eggs")</f>
        <v>Italian Poached Eggs</v>
      </c>
      <c r="B276" s="4" t="s">
        <v>95</v>
      </c>
      <c r="C276" s="4" t="s">
        <v>5</v>
      </c>
      <c r="D276" s="4" t="s">
        <v>41</v>
      </c>
      <c r="E276" s="4" t="s">
        <v>7</v>
      </c>
    </row>
    <row r="277" spans="1:5">
      <c r="A277" s="3" t="str">
        <f>HYPERLINK("https://www.foodcoach.me/recipe/italian-sausage-turkey-burger/","Italian Sausage Turkey Burger - Bariatric Recipes")</f>
        <v>Italian Sausage Turkey Burger - Bariatric Recipes</v>
      </c>
      <c r="B277" s="4" t="s">
        <v>13</v>
      </c>
      <c r="C277" s="4" t="s">
        <v>31</v>
      </c>
      <c r="D277" s="4" t="s">
        <v>6</v>
      </c>
      <c r="E277" s="4" t="s">
        <v>7</v>
      </c>
    </row>
    <row r="278" spans="1:5">
      <c r="A278" s="3" t="str">
        <f>HYPERLINK("https://www.foodcoach.me/recipe/italian-stuffed-red-peppers/","Italian Stuffed Red Peppers - Bariatric Recipes")</f>
        <v>Italian Stuffed Red Peppers - Bariatric Recipes</v>
      </c>
      <c r="B278" s="4" t="s">
        <v>13</v>
      </c>
      <c r="C278" s="4" t="s">
        <v>12</v>
      </c>
      <c r="D278" s="4" t="s">
        <v>6</v>
      </c>
      <c r="E278" s="4" t="s">
        <v>7</v>
      </c>
    </row>
    <row r="279" spans="1:5">
      <c r="A279" s="7" t="s">
        <v>105</v>
      </c>
      <c r="B279" s="6" t="s">
        <v>13</v>
      </c>
      <c r="C279" s="6" t="s">
        <v>47</v>
      </c>
      <c r="D279" s="6" t="s">
        <v>29</v>
      </c>
      <c r="E279" s="6" t="s">
        <v>14</v>
      </c>
    </row>
    <row r="280" spans="1:5">
      <c r="A280" s="3" t="str">
        <f>HYPERLINK("https://www.foodcoach.me/recipe/jalapeno-cheddar-chicken-burger/","Jalapeño Cheddar Chicken Burger")</f>
        <v>Jalapeño Cheddar Chicken Burger</v>
      </c>
      <c r="B280" s="4" t="s">
        <v>11</v>
      </c>
      <c r="C280" s="4" t="s">
        <v>31</v>
      </c>
      <c r="D280" s="4" t="s">
        <v>6</v>
      </c>
      <c r="E280" s="4" t="s">
        <v>7</v>
      </c>
    </row>
    <row r="281" spans="1:5">
      <c r="A281" s="3" t="str">
        <f>HYPERLINK("https://www.foodcoach.me/recipe/jalapeno-cheddar-chicken-chili-low-carb-wls-friendly/","Jalapeno Cheddar Chicken Chili - Low Carb &amp; WLS Friendly")</f>
        <v>Jalapeno Cheddar Chicken Chili - Low Carb &amp; WLS Friendly</v>
      </c>
      <c r="B281" s="4" t="s">
        <v>11</v>
      </c>
      <c r="C281" s="4" t="s">
        <v>5</v>
      </c>
      <c r="D281" s="4" t="s">
        <v>6</v>
      </c>
      <c r="E281" s="4" t="s">
        <v>7</v>
      </c>
    </row>
    <row r="282" spans="1:5">
      <c r="A282" s="3" t="str">
        <f>HYPERLINK("https://www.foodcoach.me/recipe/jalapeno-chili-lime-turkey-burger/","Jalapeno Chili Lime Turkey Burger")</f>
        <v>Jalapeno Chili Lime Turkey Burger</v>
      </c>
      <c r="B282" s="4" t="s">
        <v>104</v>
      </c>
      <c r="C282" s="4" t="s">
        <v>31</v>
      </c>
      <c r="D282" s="4" t="s">
        <v>6</v>
      </c>
      <c r="E282" s="4" t="s">
        <v>7</v>
      </c>
    </row>
    <row r="283" spans="1:5">
      <c r="A283" s="3" t="str">
        <f>HYPERLINK("https://www.foodcoach.me/recipe/jalapeno-lime-steak-foil-pack/","Jalapeno Lime Steak Foil Pack - WLS Recipe")</f>
        <v>Jalapeno Lime Steak Foil Pack - WLS Recipe</v>
      </c>
      <c r="B283" s="4" t="s">
        <v>4</v>
      </c>
      <c r="C283" s="4" t="s">
        <v>12</v>
      </c>
      <c r="D283" s="4" t="s">
        <v>6</v>
      </c>
      <c r="E283" s="4" t="s">
        <v>7</v>
      </c>
    </row>
    <row r="284" spans="1:5">
      <c r="A284" s="3" t="str">
        <f>HYPERLINK("https://www.foodcoach.me/recipe/jalapeno-popper-chili-beans/","Jalapeño Popper Chili (No Beans)")</f>
        <v>Jalapeño Popper Chili (No Beans)</v>
      </c>
      <c r="B284" s="4" t="s">
        <v>13</v>
      </c>
      <c r="C284" s="4" t="s">
        <v>5</v>
      </c>
      <c r="D284" s="4" t="s">
        <v>6</v>
      </c>
      <c r="E284" s="4" t="s">
        <v>7</v>
      </c>
    </row>
    <row r="285" spans="1:5">
      <c r="A285" s="3" t="str">
        <f>HYPERLINK("https://www.foodcoach.me/recipe/java-chocolate-protein-shake/","Java Chocolate Protein Shake")</f>
        <v>Java Chocolate Protein Shake</v>
      </c>
      <c r="B285" s="4" t="s">
        <v>32</v>
      </c>
      <c r="C285" s="4" t="s">
        <v>9</v>
      </c>
      <c r="D285" s="4" t="s">
        <v>33</v>
      </c>
      <c r="E285" s="4" t="s">
        <v>14</v>
      </c>
    </row>
    <row r="286" spans="1:5">
      <c r="A286" s="3" t="str">
        <f>HYPERLINK("https://www.foodcoach.me/recipe/kale-shrimp-caesar-salad/","Kale and Shrimp Caesar Salad")</f>
        <v>Kale and Shrimp Caesar Salad</v>
      </c>
      <c r="B286" s="4" t="s">
        <v>21</v>
      </c>
      <c r="C286" s="4" t="s">
        <v>5</v>
      </c>
      <c r="D286" s="4" t="s">
        <v>6</v>
      </c>
      <c r="E286" s="4" t="s">
        <v>7</v>
      </c>
    </row>
    <row r="287" spans="1:5">
      <c r="A287" s="7" t="s">
        <v>106</v>
      </c>
      <c r="B287" s="6" t="s">
        <v>4</v>
      </c>
      <c r="C287" s="6" t="s">
        <v>31</v>
      </c>
      <c r="D287" s="6" t="s">
        <v>6</v>
      </c>
      <c r="E287" s="6" t="s">
        <v>7</v>
      </c>
    </row>
    <row r="288" spans="1:5">
      <c r="A288" s="3" t="str">
        <f>HYPERLINK("https://www.foodcoach.me/recipe/kitchen-sink-chicken-chili/","Kitchen Sink Chicken Chili")</f>
        <v>Kitchen Sink Chicken Chili</v>
      </c>
      <c r="B288" s="4" t="s">
        <v>11</v>
      </c>
      <c r="C288" s="4" t="s">
        <v>50</v>
      </c>
      <c r="D288" s="4" t="s">
        <v>6</v>
      </c>
      <c r="E288" s="4" t="s">
        <v>7</v>
      </c>
    </row>
    <row r="289" spans="1:5">
      <c r="A289" s="3" t="str">
        <f>HYPERLINK("https://www.foodcoach.me/recipe/laughing-cow-recipe-2-creamed-spinach-burgers/","Laughing Cow Recipe #2: ""Creamed"" Spinach Burgers")</f>
        <v>Laughing Cow Recipe #2: "Creamed" Spinach Burgers</v>
      </c>
      <c r="B289" s="4" t="s">
        <v>4</v>
      </c>
      <c r="C289" s="4" t="s">
        <v>31</v>
      </c>
      <c r="D289" s="4" t="s">
        <v>6</v>
      </c>
      <c r="E289" s="4" t="s">
        <v>7</v>
      </c>
    </row>
    <row r="290" spans="1:5">
      <c r="A290" s="3" t="str">
        <f>HYPERLINK("https://www.foodcoach.me/recipe/lemon-cream-protein-shake/","Lemon Cream Protein Shake")</f>
        <v>Lemon Cream Protein Shake</v>
      </c>
      <c r="B290" s="4" t="s">
        <v>32</v>
      </c>
      <c r="C290" s="4" t="s">
        <v>9</v>
      </c>
      <c r="D290" s="4" t="s">
        <v>33</v>
      </c>
      <c r="E290" s="4" t="s">
        <v>7</v>
      </c>
    </row>
    <row r="291" spans="1:5">
      <c r="A291" s="3" t="str">
        <f>HYPERLINK("https://www.foodcoach.me/recipe/lemon-dill-chicken/","Lemon Dill Chicken - WLS Recipe")</f>
        <v>Lemon Dill Chicken - WLS Recipe</v>
      </c>
      <c r="B291" s="4" t="s">
        <v>11</v>
      </c>
      <c r="C291" s="4" t="s">
        <v>31</v>
      </c>
      <c r="D291" s="4" t="s">
        <v>6</v>
      </c>
      <c r="E291" s="4" t="s">
        <v>7</v>
      </c>
    </row>
    <row r="292" spans="1:5">
      <c r="A292" s="3" t="str">
        <f>HYPERLINK("https://www.foodcoach.me/recipe/lemon-garlic-tilapia-easy-wls-recipes/","Lemon Garlic Tilapia - Easy WLS Recipes")</f>
        <v>Lemon Garlic Tilapia - Easy WLS Recipes</v>
      </c>
      <c r="B292" s="4" t="s">
        <v>21</v>
      </c>
      <c r="C292" s="4" t="s">
        <v>12</v>
      </c>
      <c r="D292" s="4" t="s">
        <v>6</v>
      </c>
      <c r="E292" s="4" t="s">
        <v>14</v>
      </c>
    </row>
    <row r="293" spans="1:5">
      <c r="A293" s="3" t="str">
        <f>HYPERLINK("https://www.foodcoach.me/recipe/lemon-pepper-chicken-salad/","Lemon Pepper Chicken Salad - Bariatric Soft Recipe")</f>
        <v>Lemon Pepper Chicken Salad - Bariatric Soft Recipe</v>
      </c>
      <c r="B293" s="4" t="s">
        <v>48</v>
      </c>
      <c r="C293" s="4" t="s">
        <v>9</v>
      </c>
      <c r="D293" s="4" t="s">
        <v>6</v>
      </c>
      <c r="E293" s="4" t="s">
        <v>14</v>
      </c>
    </row>
    <row r="294" spans="1:5">
      <c r="A294" s="3" t="str">
        <f>HYPERLINK("https://www.foodcoach.me/recipe/lemon-pepper-tilapia/","Lemon Pepper Tilapia")</f>
        <v>Lemon Pepper Tilapia</v>
      </c>
      <c r="B294" s="4" t="s">
        <v>21</v>
      </c>
      <c r="C294" s="4" t="s">
        <v>12</v>
      </c>
      <c r="D294" s="4" t="s">
        <v>6</v>
      </c>
      <c r="E294" s="4" t="s">
        <v>14</v>
      </c>
    </row>
    <row r="295" spans="1:5">
      <c r="A295" s="3" t="str">
        <f>HYPERLINK("https://www.foodcoach.me/recipe/lemon-ricotta-soft-bariatric-recipe/","Lemon Ricotta - Soft Bariatric Recipe")</f>
        <v>Lemon Ricotta - Soft Bariatric Recipe</v>
      </c>
      <c r="B295" s="4" t="s">
        <v>107</v>
      </c>
      <c r="C295" s="4" t="s">
        <v>9</v>
      </c>
      <c r="D295" s="4" t="s">
        <v>54</v>
      </c>
      <c r="E295" s="4" t="s">
        <v>14</v>
      </c>
    </row>
    <row r="296" spans="1:5">
      <c r="A296" s="3" t="str">
        <f>HYPERLINK("https://www.foodcoach.me/recipe/lemon-rosemary-chicken-wls-recipe/","Lemon Rosemary Chicken - WLS Recipe")</f>
        <v>Lemon Rosemary Chicken - WLS Recipe</v>
      </c>
      <c r="B296" s="4" t="s">
        <v>11</v>
      </c>
      <c r="C296" s="4" t="s">
        <v>12</v>
      </c>
      <c r="D296" s="4" t="s">
        <v>6</v>
      </c>
      <c r="E296" s="4" t="s">
        <v>7</v>
      </c>
    </row>
    <row r="297" spans="1:5">
      <c r="A297" s="3" t="str">
        <f>HYPERLINK("https://www.foodcoach.me/recipe/lemon-vinaigrette-dressing/","Lemon Vinaigrette Dressing")</f>
        <v>Lemon Vinaigrette Dressing</v>
      </c>
      <c r="B297" s="4" t="s">
        <v>55</v>
      </c>
      <c r="C297" s="4" t="s">
        <v>56</v>
      </c>
      <c r="D297" s="4" t="s">
        <v>34</v>
      </c>
      <c r="E297" s="4" t="s">
        <v>7</v>
      </c>
    </row>
    <row r="298" spans="1:5">
      <c r="A298" s="3" t="str">
        <f>HYPERLINK("https://www.foodcoach.me/recipe/lemon-zucchini-pasta-tomatoes/","Lemon Zucchini Pasta with Tomatoes - WLS Recipes")</f>
        <v>Lemon Zucchini Pasta with Tomatoes - WLS Recipes</v>
      </c>
      <c r="B298" s="4" t="s">
        <v>13</v>
      </c>
      <c r="C298" s="4" t="s">
        <v>40</v>
      </c>
      <c r="D298" s="4" t="s">
        <v>6</v>
      </c>
      <c r="E298" s="4" t="s">
        <v>7</v>
      </c>
    </row>
    <row r="299" spans="1:5">
      <c r="A299" s="3" t="str">
        <f>HYPERLINK("https://www.foodcoach.me/recipe/loaded-pizza-cauliflower-crust/","Loaded Pizza with Cauliflower Crust")</f>
        <v>Loaded Pizza with Cauliflower Crust</v>
      </c>
      <c r="B299" s="4" t="s">
        <v>23</v>
      </c>
      <c r="C299" s="4" t="s">
        <v>12</v>
      </c>
      <c r="D299" s="4" t="s">
        <v>6</v>
      </c>
      <c r="E299" s="4" t="s">
        <v>7</v>
      </c>
    </row>
    <row r="300" spans="1:5">
      <c r="A300" s="3" t="str">
        <f>HYPERLINK("https://www.foodcoach.me/recipe/low-carb-chocolate-banana-smoothie/","Low Carb Chocolate Banana Smoothie")</f>
        <v>Low Carb Chocolate Banana Smoothie</v>
      </c>
      <c r="B300" s="4" t="s">
        <v>16</v>
      </c>
      <c r="C300" s="4" t="s">
        <v>9</v>
      </c>
      <c r="D300" s="4" t="s">
        <v>33</v>
      </c>
      <c r="E300" s="4" t="s">
        <v>7</v>
      </c>
    </row>
    <row r="301" spans="1:5">
      <c r="A301" s="7" t="s">
        <v>108</v>
      </c>
      <c r="B301" s="6" t="s">
        <v>38</v>
      </c>
      <c r="C301" s="6" t="s">
        <v>5</v>
      </c>
      <c r="D301" s="6" t="s">
        <v>29</v>
      </c>
      <c r="E301" s="6" t="s">
        <v>14</v>
      </c>
    </row>
    <row r="302" spans="1:5">
      <c r="A302" s="3" t="str">
        <f>HYPERLINK("https://www.foodcoach.me/recipe/pear-goat-cheese-candied-walnut-salad/","Low Carb Stuffed Mushroom Cap - WLS Recipe")</f>
        <v>Low Carb Stuffed Mushroom Cap - WLS Recipe</v>
      </c>
      <c r="B302" s="4" t="s">
        <v>13</v>
      </c>
      <c r="C302" s="4" t="s">
        <v>12</v>
      </c>
      <c r="D302" s="4" t="s">
        <v>6</v>
      </c>
      <c r="E302" s="4" t="s">
        <v>7</v>
      </c>
    </row>
    <row r="303" spans="1:5">
      <c r="A303" s="3" t="str">
        <f>HYPERLINK("https://www.foodcoach.me/recipe/low-carb-taco-casserole/","Low Carb Taco Casserole")</f>
        <v>Low Carb Taco Casserole</v>
      </c>
      <c r="B303" s="4" t="s">
        <v>30</v>
      </c>
      <c r="C303" s="4" t="s">
        <v>12</v>
      </c>
      <c r="D303" s="4" t="s">
        <v>6</v>
      </c>
      <c r="E303" s="4" t="s">
        <v>7</v>
      </c>
    </row>
    <row r="304" spans="1:5">
      <c r="A304" s="3" t="str">
        <f>HYPERLINK("https://www.foodcoach.me/recipe/low-carb-teriyaki-burger-weight-loss-surgery-recipe/","Low Carb Teriyaki Burger - Weight Loss Surgery Recipe")</f>
        <v>Low Carb Teriyaki Burger - Weight Loss Surgery Recipe</v>
      </c>
      <c r="B304" s="4" t="s">
        <v>4</v>
      </c>
      <c r="C304" s="4" t="s">
        <v>31</v>
      </c>
      <c r="D304" s="4" t="s">
        <v>6</v>
      </c>
      <c r="E304" s="4" t="s">
        <v>7</v>
      </c>
    </row>
    <row r="305" spans="1:5">
      <c r="A305" s="3" t="str">
        <f>HYPERLINK("https://www.foodcoach.me/recipe/low-carb-turkey-burger-with-mint-yogurt-sauce-wls-recipe/","Low Carb Turkey Burger with Feta &amp; Mint Yogurt Sauce - WLS Recipe")</f>
        <v>Low Carb Turkey Burger with Feta &amp; Mint Yogurt Sauce - WLS Recipe</v>
      </c>
      <c r="B305" s="4" t="s">
        <v>13</v>
      </c>
      <c r="C305" s="4" t="s">
        <v>5</v>
      </c>
      <c r="D305" s="4" t="s">
        <v>6</v>
      </c>
      <c r="E305" s="4" t="s">
        <v>7</v>
      </c>
    </row>
    <row r="306" spans="1:5">
      <c r="A306" s="3" t="str">
        <f>HYPERLINK("https://www.foodcoach.me/recipe/margarita-grilled-chicken/","Margarita Grilled Chicken")</f>
        <v>Margarita Grilled Chicken</v>
      </c>
      <c r="B306" s="4" t="s">
        <v>11</v>
      </c>
      <c r="C306" s="4" t="s">
        <v>31</v>
      </c>
      <c r="D306" s="4" t="s">
        <v>6</v>
      </c>
      <c r="E306" s="4" t="s">
        <v>14</v>
      </c>
    </row>
    <row r="307" spans="1:5">
      <c r="A307" s="3" t="str">
        <f>HYPERLINK("https://www.foodcoach.me/recipe/marinated-balsamic-mustard-sirloin/","Marinated Balsamic &amp; Mustard Sirloin")</f>
        <v>Marinated Balsamic &amp; Mustard Sirloin</v>
      </c>
      <c r="B307" s="4" t="s">
        <v>4</v>
      </c>
      <c r="C307" s="4" t="s">
        <v>12</v>
      </c>
      <c r="D307" s="4" t="s">
        <v>6</v>
      </c>
      <c r="E307" s="4" t="s">
        <v>7</v>
      </c>
    </row>
    <row r="308" spans="1:5">
      <c r="A308" s="3" t="str">
        <f>HYPERLINK("https://www.foodcoach.me/recipe/marinated-teriyaki-stovetop-chicken/","Marinated Teriyaki Stovetop Chicken")</f>
        <v>Marinated Teriyaki Stovetop Chicken</v>
      </c>
      <c r="B308" s="4" t="s">
        <v>48</v>
      </c>
      <c r="C308" s="4" t="s">
        <v>31</v>
      </c>
      <c r="D308" s="4" t="s">
        <v>6</v>
      </c>
      <c r="E308" s="4" t="s">
        <v>7</v>
      </c>
    </row>
    <row r="309" spans="1:5">
      <c r="A309" s="3" t="str">
        <f>HYPERLINK("https://www.foodcoach.me/recipe/mediterranean-chicken/","Mediterranean Chicken")</f>
        <v>Mediterranean Chicken</v>
      </c>
      <c r="B309" s="4" t="s">
        <v>11</v>
      </c>
      <c r="C309" s="4" t="s">
        <v>12</v>
      </c>
      <c r="D309" s="4" t="s">
        <v>6</v>
      </c>
      <c r="E309" s="4" t="s">
        <v>7</v>
      </c>
    </row>
    <row r="310" spans="1:5">
      <c r="A310" s="3" t="str">
        <f>HYPERLINK("https://www.foodcoach.me/recipe/mexican-chicken-lime-stew/","Mexican Chicken Lime Stew")</f>
        <v>Mexican Chicken Lime Stew</v>
      </c>
      <c r="B310" s="4" t="s">
        <v>11</v>
      </c>
      <c r="C310" s="4" t="s">
        <v>5</v>
      </c>
      <c r="D310" s="4" t="s">
        <v>6</v>
      </c>
      <c r="E310" s="4" t="s">
        <v>14</v>
      </c>
    </row>
    <row r="311" spans="1:5">
      <c r="A311" s="3" t="str">
        <f>HYPERLINK("https://www.foodcoach.me/recipe/mexican-deviled-eggs/","Mexican Deviled Eggs - Bariatric Snack")</f>
        <v>Mexican Deviled Eggs - Bariatric Snack</v>
      </c>
      <c r="B311" s="4" t="s">
        <v>39</v>
      </c>
      <c r="C311" s="4" t="s">
        <v>9</v>
      </c>
      <c r="D311" s="4" t="s">
        <v>10</v>
      </c>
      <c r="E311" s="4" t="s">
        <v>14</v>
      </c>
    </row>
    <row r="312" spans="1:5">
      <c r="A312" s="3" t="str">
        <f>HYPERLINK("https://www.foodcoach.me/recipe/mexican-lime-chicken-stew/","Mexican Lime Chicken Stew")</f>
        <v>Mexican Lime Chicken Stew</v>
      </c>
      <c r="B312" s="4" t="s">
        <v>11</v>
      </c>
      <c r="C312" s="4" t="s">
        <v>5</v>
      </c>
      <c r="D312" s="4" t="s">
        <v>6</v>
      </c>
      <c r="E312" s="4" t="s">
        <v>7</v>
      </c>
    </row>
    <row r="313" spans="1:5">
      <c r="A313" s="3" t="str">
        <f>HYPERLINK("https://www.foodcoach.me/recipe/mexican-shrimp-salad-wls-cooking-video/","Mexican Shrimp Salad - WLS Cooking Video")</f>
        <v>Mexican Shrimp Salad - WLS Cooking Video</v>
      </c>
      <c r="B313" s="4" t="s">
        <v>21</v>
      </c>
      <c r="C313" s="4" t="s">
        <v>9</v>
      </c>
      <c r="D313" s="4" t="s">
        <v>6</v>
      </c>
      <c r="E313" s="4" t="s">
        <v>14</v>
      </c>
    </row>
    <row r="314" spans="1:5">
      <c r="A314" s="3" t="str">
        <f>HYPERLINK("https://www.foodcoach.me/recipe/mexican-side-salad/","Mexican Side Salad - WLS Recipes")</f>
        <v>Mexican Side Salad - WLS Recipes</v>
      </c>
      <c r="B314" s="4" t="s">
        <v>23</v>
      </c>
      <c r="C314" s="4" t="s">
        <v>9</v>
      </c>
      <c r="D314" s="4" t="s">
        <v>34</v>
      </c>
      <c r="E314" s="4" t="s">
        <v>7</v>
      </c>
    </row>
    <row r="315" spans="1:5">
      <c r="A315" s="7" t="s">
        <v>109</v>
      </c>
      <c r="B315" s="6" t="s">
        <v>4</v>
      </c>
      <c r="C315" s="6" t="s">
        <v>12</v>
      </c>
      <c r="D315" s="6" t="s">
        <v>29</v>
      </c>
      <c r="E315" s="6" t="s">
        <v>7</v>
      </c>
    </row>
    <row r="316" spans="1:5">
      <c r="A316" s="3" t="str">
        <f>HYPERLINK("https://www.foodcoach.me/recipe/microwave-steamed-baby-carrots/","Microwave Steamed Baby Carrots")</f>
        <v>Microwave Steamed Baby Carrots</v>
      </c>
      <c r="B316" s="4" t="s">
        <v>55</v>
      </c>
      <c r="C316" s="4" t="s">
        <v>9</v>
      </c>
      <c r="D316" s="4" t="s">
        <v>34</v>
      </c>
      <c r="E316" s="4" t="s">
        <v>7</v>
      </c>
    </row>
    <row r="317" spans="1:5">
      <c r="A317" s="3" t="str">
        <f>HYPERLINK("https://www.foodcoach.me/recipe/mini-meatloaf/","Mini Bariatric Sized Meatloaf")</f>
        <v>Mini Bariatric Sized Meatloaf</v>
      </c>
      <c r="B317" s="4" t="s">
        <v>4</v>
      </c>
      <c r="C317" s="4" t="s">
        <v>12</v>
      </c>
      <c r="D317" s="4" t="s">
        <v>6</v>
      </c>
      <c r="E317" s="4" t="s">
        <v>7</v>
      </c>
    </row>
    <row r="318" spans="1:5">
      <c r="A318" s="3" t="str">
        <f>HYPERLINK("https://www.foodcoach.me/recipe/mini-zucchini-meatloaf/","Mini Zucchini Meatloaf")</f>
        <v>Mini Zucchini Meatloaf</v>
      </c>
      <c r="B318" s="4" t="s">
        <v>4</v>
      </c>
      <c r="C318" s="4" t="s">
        <v>12</v>
      </c>
      <c r="D318" s="4" t="s">
        <v>6</v>
      </c>
      <c r="E318" s="4" t="s">
        <v>7</v>
      </c>
    </row>
    <row r="319" spans="1:5">
      <c r="A319" s="3" t="str">
        <f>HYPERLINK("https://www.foodcoach.me/recipe/mint-chocolate-chunk-ice-cream/","Mint Chocolate Chunk Ice Cream - WLS Sweets")</f>
        <v>Mint Chocolate Chunk Ice Cream - WLS Sweets</v>
      </c>
      <c r="B319" s="4" t="s">
        <v>44</v>
      </c>
      <c r="C319" s="4" t="s">
        <v>9</v>
      </c>
      <c r="D319" s="4" t="s">
        <v>52</v>
      </c>
      <c r="E319" s="4" t="s">
        <v>7</v>
      </c>
    </row>
    <row r="320" spans="1:5">
      <c r="A320" s="3" t="str">
        <f>HYPERLINK("https://www.foodcoach.me/recipe/moroccan-chicken/","Moroccan Chicken - Bariatric Recipe")</f>
        <v>Moroccan Chicken - Bariatric Recipe</v>
      </c>
      <c r="B320" s="4" t="s">
        <v>11</v>
      </c>
      <c r="C320" s="4" t="s">
        <v>12</v>
      </c>
      <c r="D320" s="4" t="s">
        <v>6</v>
      </c>
      <c r="E320" s="4" t="s">
        <v>7</v>
      </c>
    </row>
    <row r="321" spans="1:5">
      <c r="A321" s="3" t="str">
        <f>HYPERLINK("https://www.foodcoach.me/recipe/breakfast-egg-cups/","Mushroom &amp; Swiss Egg Cups")</f>
        <v>Mushroom &amp; Swiss Egg Cups</v>
      </c>
      <c r="B321" s="4" t="s">
        <v>39</v>
      </c>
      <c r="C321" s="4" t="s">
        <v>12</v>
      </c>
      <c r="D321" s="4" t="s">
        <v>41</v>
      </c>
      <c r="E321" s="4" t="s">
        <v>7</v>
      </c>
    </row>
    <row r="322" spans="1:5">
      <c r="A322" s="3" t="str">
        <f>HYPERLINK("https://www.foodcoach.me/recipe/mushroom-bruschetta-chicken/","Mushroom Bruschetta Chicken")</f>
        <v>Mushroom Bruschetta Chicken</v>
      </c>
      <c r="B322" s="4" t="s">
        <v>11</v>
      </c>
      <c r="C322" s="4" t="s">
        <v>5</v>
      </c>
      <c r="D322" s="4" t="s">
        <v>6</v>
      </c>
      <c r="E322" s="4" t="s">
        <v>7</v>
      </c>
    </row>
    <row r="323" spans="1:5">
      <c r="A323" s="3" t="str">
        <f>HYPERLINK("https://www.foodcoach.me/recipe/non-alcoholic-mint-mojito/","Non-Alcoholic Mint Mojito")</f>
        <v>Non-Alcoholic Mint Mojito</v>
      </c>
      <c r="B323" s="4" t="s">
        <v>32</v>
      </c>
      <c r="C323" s="4" t="s">
        <v>9</v>
      </c>
      <c r="D323" s="4" t="s">
        <v>33</v>
      </c>
      <c r="E323" s="4" t="s">
        <v>7</v>
      </c>
    </row>
    <row r="324" spans="1:5">
      <c r="A324" s="3" t="str">
        <f>HYPERLINK("https://www.foodcoach.me/recipe/non-alcoholic-watermelon-margarita/","Non-Alcoholic Watermelon Margarita")</f>
        <v>Non-Alcoholic Watermelon Margarita</v>
      </c>
      <c r="B324" s="4" t="s">
        <v>32</v>
      </c>
      <c r="C324" s="4" t="s">
        <v>56</v>
      </c>
      <c r="D324" s="4" t="s">
        <v>33</v>
      </c>
      <c r="E324" s="4" t="s">
        <v>14</v>
      </c>
    </row>
    <row r="325" spans="1:5">
      <c r="A325" s="3" t="str">
        <f>HYPERLINK("https://www.foodcoach.me/recipe/not-too-sweet-vanilla-protein-shake-bariatric-liquid-diet/","Not Too Sweet Vanilla Protein Shake - Bariatric Liquid Diet")</f>
        <v>Not Too Sweet Vanilla Protein Shake - Bariatric Liquid Diet</v>
      </c>
      <c r="B325" s="4" t="s">
        <v>32</v>
      </c>
      <c r="C325" s="4" t="s">
        <v>9</v>
      </c>
      <c r="D325" s="4" t="s">
        <v>52</v>
      </c>
      <c r="E325" s="4" t="s">
        <v>7</v>
      </c>
    </row>
    <row r="326" spans="1:5">
      <c r="A326" s="3" t="str">
        <f>HYPERLINK("https://www.foodcoach.me/recipe/one-pan-chicken-roasted-veggies/","One Pan Chicken &amp; Roasted Veggies")</f>
        <v>One Pan Chicken &amp; Roasted Veggies</v>
      </c>
      <c r="B326" s="4" t="s">
        <v>11</v>
      </c>
      <c r="C326" s="4" t="s">
        <v>12</v>
      </c>
      <c r="D326" s="4" t="s">
        <v>6</v>
      </c>
      <c r="E326" s="4" t="s">
        <v>14</v>
      </c>
    </row>
    <row r="327" spans="1:5">
      <c r="A327" s="3" t="str">
        <f>HYPERLINK("https://www.foodcoach.me/recipe/orange-cream-protein-shake/","Orange Cream Protein Shake")</f>
        <v>Orange Cream Protein Shake</v>
      </c>
      <c r="B327" s="4" t="s">
        <v>32</v>
      </c>
      <c r="C327" s="4" t="s">
        <v>9</v>
      </c>
      <c r="D327" s="4" t="s">
        <v>33</v>
      </c>
      <c r="E327" s="4" t="s">
        <v>7</v>
      </c>
    </row>
    <row r="328" spans="1:5">
      <c r="A328" s="3" t="str">
        <f>HYPERLINK("https://www.foodcoach.me/recipe/orange-infused-green-beans/","Orange Infused Green Beans")</f>
        <v>Orange Infused Green Beans</v>
      </c>
      <c r="B328" s="4" t="s">
        <v>55</v>
      </c>
      <c r="C328" s="4" t="s">
        <v>5</v>
      </c>
      <c r="D328" s="4" t="s">
        <v>34</v>
      </c>
      <c r="E328" s="4" t="s">
        <v>7</v>
      </c>
    </row>
    <row r="329" spans="1:5">
      <c r="A329" s="3" t="str">
        <f>HYPERLINK("https://www.foodcoach.me/recipe/oven-baked-chicken-kebabs/","Oven Baked Chicken Kebabs")</f>
        <v>Oven Baked Chicken Kebabs</v>
      </c>
      <c r="B329" s="4" t="s">
        <v>48</v>
      </c>
      <c r="C329" s="4" t="s">
        <v>12</v>
      </c>
      <c r="D329" s="4" t="s">
        <v>6</v>
      </c>
      <c r="E329" s="4" t="s">
        <v>7</v>
      </c>
    </row>
    <row r="330" spans="1:5">
      <c r="A330" s="3" t="str">
        <f>HYPERLINK("https://www.foodcoach.me/recipe/oven-baked-ricotta/","Oven Baked Ricotta - Soft Bariatric Recipe")</f>
        <v>Oven Baked Ricotta - Soft Bariatric Recipe</v>
      </c>
      <c r="B330" s="4" t="s">
        <v>107</v>
      </c>
      <c r="C330" s="4" t="s">
        <v>12</v>
      </c>
      <c r="D330" s="4" t="s">
        <v>54</v>
      </c>
      <c r="E330" s="4" t="s">
        <v>7</v>
      </c>
    </row>
    <row r="331" spans="1:5">
      <c r="A331" s="3" t="str">
        <f>HYPERLINK("https://www.foodcoach.me/recipe/oven-roasted-asparagus/","Oven Roasted Asparagus")</f>
        <v>Oven Roasted Asparagus</v>
      </c>
      <c r="B331" s="4" t="s">
        <v>23</v>
      </c>
      <c r="C331" s="4" t="s">
        <v>12</v>
      </c>
      <c r="D331" s="4" t="s">
        <v>34</v>
      </c>
      <c r="E331" s="4" t="s">
        <v>7</v>
      </c>
    </row>
    <row r="332" spans="1:5">
      <c r="A332" s="3" t="str">
        <f>HYPERLINK("https://www.foodcoach.me/recipe/oven-roasted-cherry-tomatoes/","Oven Roasted Cherry Tomatoes")</f>
        <v>Oven Roasted Cherry Tomatoes</v>
      </c>
      <c r="B332" s="4" t="s">
        <v>55</v>
      </c>
      <c r="C332" s="4" t="s">
        <v>12</v>
      </c>
      <c r="D332" s="4" t="s">
        <v>34</v>
      </c>
      <c r="E332" s="4" t="s">
        <v>7</v>
      </c>
    </row>
    <row r="333" spans="1:5">
      <c r="A333" s="7" t="s">
        <v>110</v>
      </c>
      <c r="B333" s="6" t="s">
        <v>23</v>
      </c>
      <c r="C333" s="6" t="s">
        <v>12</v>
      </c>
      <c r="D333" s="6" t="s">
        <v>24</v>
      </c>
      <c r="E333" s="6" t="s">
        <v>7</v>
      </c>
    </row>
    <row r="334" spans="1:5">
      <c r="A334" s="3" t="str">
        <f>HYPERLINK("https://www.foodcoach.me/recipe/oven-roasted-veggies-thyme/","Oven Roasted Veggies Thyme")</f>
        <v>Oven Roasted Veggies Thyme</v>
      </c>
      <c r="B334" s="4" t="s">
        <v>23</v>
      </c>
      <c r="C334" s="4" t="s">
        <v>12</v>
      </c>
      <c r="D334" s="4" t="s">
        <v>6</v>
      </c>
      <c r="E334" s="4" t="s">
        <v>7</v>
      </c>
    </row>
    <row r="335" spans="1:5">
      <c r="A335" s="3" t="str">
        <f>HYPERLINK("https://www.foodcoach.me/recipe/pan-roasted-sweet-peppers/","Pan Roasted Sweet Peppers")</f>
        <v>Pan Roasted Sweet Peppers</v>
      </c>
      <c r="B335" s="4" t="s">
        <v>55</v>
      </c>
      <c r="C335" s="4" t="s">
        <v>5</v>
      </c>
      <c r="D335" s="4" t="s">
        <v>34</v>
      </c>
      <c r="E335" s="4" t="s">
        <v>7</v>
      </c>
    </row>
    <row r="336" spans="1:5">
      <c r="A336" s="3" t="str">
        <f>HYPERLINK("https://www.foodcoach.me/recipe/pan-seared-tilapia/","Pan Seared Tilapia")</f>
        <v>Pan Seared Tilapia</v>
      </c>
      <c r="B336" s="4" t="s">
        <v>43</v>
      </c>
      <c r="C336" s="4" t="s">
        <v>12</v>
      </c>
      <c r="D336" s="4" t="s">
        <v>6</v>
      </c>
      <c r="E336" s="4" t="s">
        <v>7</v>
      </c>
    </row>
    <row r="337" spans="1:5">
      <c r="A337" s="3" t="str">
        <f>HYPERLINK("https://www.foodcoach.me/recipe/paprika-yogurt-chicken-skewers/","Paprika Yogurt Chicken Skewers")</f>
        <v>Paprika Yogurt Chicken Skewers</v>
      </c>
      <c r="B337" s="4" t="s">
        <v>48</v>
      </c>
      <c r="C337" s="4" t="s">
        <v>31</v>
      </c>
      <c r="D337" s="4" t="s">
        <v>6</v>
      </c>
      <c r="E337" s="4" t="s">
        <v>7</v>
      </c>
    </row>
    <row r="338" spans="1:5">
      <c r="A338" s="3" t="str">
        <f>HYPERLINK("https://www.foodcoach.me/recipe/parmesan-thyme-chicken-with-mushrooms/","Parmesan &amp; Thyme Chicken with Mushrooms")</f>
        <v>Parmesan &amp; Thyme Chicken with Mushrooms</v>
      </c>
      <c r="B338" s="4" t="s">
        <v>11</v>
      </c>
      <c r="C338" s="4" t="s">
        <v>5</v>
      </c>
      <c r="D338" s="4" t="s">
        <v>6</v>
      </c>
      <c r="E338" s="4" t="s">
        <v>7</v>
      </c>
    </row>
    <row r="339" spans="1:5">
      <c r="A339" s="3" t="str">
        <f>HYPERLINK("https://www.foodcoach.me/recipe/parmasean-baked-chicken/","Parmesan Baked Chicken")</f>
        <v>Parmesan Baked Chicken</v>
      </c>
      <c r="B339" s="4" t="s">
        <v>11</v>
      </c>
      <c r="C339" s="4" t="s">
        <v>12</v>
      </c>
      <c r="D339" s="4" t="s">
        <v>6</v>
      </c>
      <c r="E339" s="4" t="s">
        <v>7</v>
      </c>
    </row>
    <row r="340" spans="1:5">
      <c r="A340" s="3" t="str">
        <f>HYPERLINK("https://www.foodcoach.me/recipe/parmesan-coated-tilapia-soft-recipe/","Parmesan Coated Tilapia - Soft Recipe")</f>
        <v>Parmesan Coated Tilapia - Soft Recipe</v>
      </c>
      <c r="B340" s="4" t="s">
        <v>43</v>
      </c>
      <c r="C340" s="4" t="s">
        <v>12</v>
      </c>
      <c r="D340" s="4" t="s">
        <v>6</v>
      </c>
      <c r="E340" s="4" t="s">
        <v>7</v>
      </c>
    </row>
    <row r="341" spans="1:5">
      <c r="A341" s="3" t="str">
        <f>HYPERLINK("https://www.foodcoach.me/recipe/parmesan-peppers/","Parmesan Peppers")</f>
        <v>Parmesan Peppers</v>
      </c>
      <c r="B341" s="4" t="s">
        <v>23</v>
      </c>
      <c r="C341" s="4" t="s">
        <v>5</v>
      </c>
      <c r="D341" s="4" t="s">
        <v>6</v>
      </c>
      <c r="E341" s="4" t="s">
        <v>7</v>
      </c>
    </row>
    <row r="342" spans="1:5">
      <c r="A342" s="3" t="str">
        <f>HYPERLINK("https://www.foodcoach.me/recipe/parmesan-turkey-burger/","Parmesan Turkey Burger - Bariatric Recipes")</f>
        <v>Parmesan Turkey Burger - Bariatric Recipes</v>
      </c>
      <c r="B342" s="4" t="s">
        <v>13</v>
      </c>
      <c r="C342" s="4" t="s">
        <v>12</v>
      </c>
      <c r="D342" s="4" t="s">
        <v>6</v>
      </c>
      <c r="E342" s="4" t="s">
        <v>14</v>
      </c>
    </row>
    <row r="343" spans="1:5">
      <c r="A343" s="3" t="str">
        <f>HYPERLINK("https://www.foodcoach.me/recipe/parmesan-turkey-burger/","Parmesan Turkey Burgers")</f>
        <v>Parmesan Turkey Burgers</v>
      </c>
      <c r="B343" s="4" t="s">
        <v>13</v>
      </c>
      <c r="C343" s="4" t="s">
        <v>12</v>
      </c>
      <c r="D343" s="4" t="s">
        <v>6</v>
      </c>
      <c r="E343" s="4" t="s">
        <v>7</v>
      </c>
    </row>
    <row r="344" spans="1:5">
      <c r="A344" s="3" t="str">
        <f>HYPERLINK("https://www.foodcoach.me/recipe/parmesan-zucchini-bites/","Parmesan Zucchini Bites - WLS Recipe")</f>
        <v>Parmesan Zucchini Bites - WLS Recipe</v>
      </c>
      <c r="B344" s="4" t="s">
        <v>23</v>
      </c>
      <c r="C344" s="4" t="s">
        <v>111</v>
      </c>
      <c r="D344" s="4" t="s">
        <v>6</v>
      </c>
      <c r="E344" s="4" t="s">
        <v>7</v>
      </c>
    </row>
    <row r="345" spans="1:5">
      <c r="A345" s="3" t="str">
        <f>HYPERLINK("https://www.foodcoach.me/recipe/parmesan-zucchini-chips/","Parmesan Zucchini Chips")</f>
        <v>Parmesan Zucchini Chips</v>
      </c>
      <c r="B345" s="4" t="s">
        <v>55</v>
      </c>
      <c r="C345" s="4" t="s">
        <v>12</v>
      </c>
      <c r="D345" s="4" t="s">
        <v>6</v>
      </c>
      <c r="E345" s="4" t="s">
        <v>7</v>
      </c>
    </row>
    <row r="346" spans="1:5">
      <c r="A346" s="3" t="str">
        <f>HYPERLINK("https://www.foodcoach.me/recipe/pear-goat-cheese-candied-walnut-salad/","Pear, Goat Cheese &amp; Candied Walnut Salad")</f>
        <v>Pear, Goat Cheese &amp; Candied Walnut Salad</v>
      </c>
      <c r="B346" s="4" t="s">
        <v>23</v>
      </c>
      <c r="C346" s="4" t="s">
        <v>9</v>
      </c>
      <c r="D346" s="4" t="s">
        <v>34</v>
      </c>
      <c r="E346" s="4" t="s">
        <v>7</v>
      </c>
    </row>
    <row r="347" spans="1:5">
      <c r="A347" s="3" t="str">
        <f>HYPERLINK("https://www.foodcoach.me/recipe/pepper-and-peach-fajita-chicken/","Pepper and Peach Fajita Chicken")</f>
        <v>Pepper and Peach Fajita Chicken</v>
      </c>
      <c r="B347" s="4" t="s">
        <v>11</v>
      </c>
      <c r="C347" s="4" t="s">
        <v>40</v>
      </c>
      <c r="D347" s="4" t="s">
        <v>6</v>
      </c>
      <c r="E347" s="4" t="s">
        <v>7</v>
      </c>
    </row>
    <row r="348" spans="1:5">
      <c r="A348" s="3" t="str">
        <f>HYPERLINK("https://www.foodcoach.me/recipe/pepper-pepperjack-stuffed-chicken/","Pepper and Pepperjack Stuffed Chicken")</f>
        <v>Pepper and Pepperjack Stuffed Chicken</v>
      </c>
      <c r="B348" s="4" t="s">
        <v>11</v>
      </c>
      <c r="C348" s="4" t="s">
        <v>12</v>
      </c>
      <c r="D348" s="4" t="s">
        <v>6</v>
      </c>
      <c r="E348" s="4" t="s">
        <v>7</v>
      </c>
    </row>
    <row r="349" spans="1:5">
      <c r="A349" s="3" t="str">
        <f>HYPERLINK("https://www.foodcoach.me/recipe/peppercorn-chicken-broth/","Peppercorn Chicken Broth")</f>
        <v>Peppercorn Chicken Broth</v>
      </c>
      <c r="B349" s="4" t="s">
        <v>32</v>
      </c>
      <c r="C349" s="4" t="s">
        <v>5</v>
      </c>
      <c r="D349" s="4" t="s">
        <v>33</v>
      </c>
      <c r="E349" s="4" t="s">
        <v>7</v>
      </c>
    </row>
    <row r="350" spans="1:5">
      <c r="A350" s="3" t="str">
        <f>HYPERLINK("https://www.foodcoach.me/recipe/pesto-grilled-shrimp-and-squash/","Pesto Shrimp and Squash")</f>
        <v>Pesto Shrimp and Squash</v>
      </c>
      <c r="B350" s="4" t="s">
        <v>38</v>
      </c>
      <c r="C350" s="4" t="s">
        <v>31</v>
      </c>
      <c r="D350" s="4" t="s">
        <v>6</v>
      </c>
      <c r="E350" s="4" t="s">
        <v>7</v>
      </c>
    </row>
    <row r="351" spans="1:5">
      <c r="A351" s="3" t="str">
        <f>HYPERLINK("https://www.foodcoach.me/recipe/philly-cheese-chicken-skillet/","Philly Cheese Chicken Skillet")</f>
        <v>Philly Cheese Chicken Skillet</v>
      </c>
      <c r="B351" s="4" t="s">
        <v>48</v>
      </c>
      <c r="C351" s="4" t="s">
        <v>5</v>
      </c>
      <c r="D351" s="4" t="s">
        <v>6</v>
      </c>
      <c r="E351" s="4" t="s">
        <v>7</v>
      </c>
    </row>
    <row r="352" spans="1:5">
      <c r="A352" s="3" t="str">
        <f>HYPERLINK("https://www.foodcoach.me/recipe/pico-de-gallo-grilled-chicken/","Pico de Gallo Grilled Chicken - WLS Recipes")</f>
        <v>Pico de Gallo Grilled Chicken - WLS Recipes</v>
      </c>
      <c r="B352" s="4" t="s">
        <v>11</v>
      </c>
      <c r="C352" s="4" t="s">
        <v>31</v>
      </c>
      <c r="D352" s="4" t="s">
        <v>6</v>
      </c>
      <c r="E352" s="4" t="s">
        <v>7</v>
      </c>
    </row>
    <row r="353" spans="1:5">
      <c r="A353" s="3" t="str">
        <f>HYPERLINK("https://www.foodcoach.me/recipe/pineapple-chicken-stir-fry/","Pineapple Chicken Stir-Fry")</f>
        <v>Pineapple Chicken Stir-Fry</v>
      </c>
      <c r="B353" s="4" t="s">
        <v>11</v>
      </c>
      <c r="C353" s="4" t="s">
        <v>5</v>
      </c>
      <c r="D353" s="4" t="s">
        <v>6</v>
      </c>
      <c r="E353" s="4" t="s">
        <v>7</v>
      </c>
    </row>
    <row r="354" spans="1:5">
      <c r="A354" s="3" t="str">
        <f>HYPERLINK("https://www.foodcoach.me/recipe/pizza-chicken-with-turkey-pepperoni/","Pizza Chicken with Turkey Pepperoni")</f>
        <v>Pizza Chicken with Turkey Pepperoni</v>
      </c>
      <c r="B354" s="4" t="s">
        <v>11</v>
      </c>
      <c r="C354" s="4" t="s">
        <v>12</v>
      </c>
      <c r="D354" s="4" t="s">
        <v>6</v>
      </c>
      <c r="E354" s="4" t="s">
        <v>14</v>
      </c>
    </row>
    <row r="355" spans="1:5">
      <c r="A355" s="3" t="str">
        <f>HYPERLINK("https://www.foodcoach.me/recipe/pizza-eggs/","Pizza Eggs")</f>
        <v>Pizza Eggs</v>
      </c>
      <c r="B355" s="4" t="s">
        <v>80</v>
      </c>
      <c r="C355" s="4" t="s">
        <v>5</v>
      </c>
      <c r="D355" s="4" t="s">
        <v>41</v>
      </c>
      <c r="E355" s="4" t="s">
        <v>14</v>
      </c>
    </row>
    <row r="356" spans="1:5">
      <c r="A356" s="3" t="str">
        <f>HYPERLINK("https://www.foodcoach.me/recipe/pizza-stuffed-burgers/","Pizza Stuffed Burgers - Low Carb WLS Recipe")</f>
        <v>Pizza Stuffed Burgers - Low Carb WLS Recipe</v>
      </c>
      <c r="B356" s="4" t="s">
        <v>4</v>
      </c>
      <c r="C356" s="4" t="s">
        <v>31</v>
      </c>
      <c r="D356" s="4" t="s">
        <v>6</v>
      </c>
      <c r="E356" s="4" t="s">
        <v>7</v>
      </c>
    </row>
    <row r="357" spans="1:5">
      <c r="A357" s="3" t="str">
        <f>HYPERLINK("https://www.foodcoach.me/recipe/pork-and-broccoli-stir-fry/","Pork and Broccoli Stir Fry - Bariatric Recipes")</f>
        <v>Pork and Broccoli Stir Fry - Bariatric Recipes</v>
      </c>
      <c r="B357" s="4" t="s">
        <v>27</v>
      </c>
      <c r="C357" s="4" t="s">
        <v>5</v>
      </c>
      <c r="D357" s="4" t="s">
        <v>6</v>
      </c>
      <c r="E357" s="4" t="s">
        <v>7</v>
      </c>
    </row>
    <row r="358" spans="1:5">
      <c r="A358" s="3" t="str">
        <f>HYPERLINK("https://www.foodcoach.me/recipe/pork-tomatillo-chili/","Pork and Tomatillo Chili - Bariatric Recipes")</f>
        <v>Pork and Tomatillo Chili - Bariatric Recipes</v>
      </c>
      <c r="B358" s="4" t="s">
        <v>27</v>
      </c>
      <c r="C358" s="4" t="s">
        <v>50</v>
      </c>
      <c r="D358" s="4" t="s">
        <v>6</v>
      </c>
      <c r="E358" s="4" t="s">
        <v>14</v>
      </c>
    </row>
    <row r="359" spans="1:5">
      <c r="A359" s="3" t="str">
        <f>HYPERLINK("https://www.foodcoach.me/recipe/pork-chops-onion-poblano/","Pork Chops with Onion and Poblano")</f>
        <v>Pork Chops with Onion and Poblano</v>
      </c>
      <c r="B359" s="4" t="s">
        <v>27</v>
      </c>
      <c r="C359" s="4" t="s">
        <v>5</v>
      </c>
      <c r="D359" s="4" t="s">
        <v>6</v>
      </c>
      <c r="E359" s="4" t="s">
        <v>14</v>
      </c>
    </row>
    <row r="360" spans="1:5">
      <c r="A360" s="3" t="str">
        <f>HYPERLINK("https://www.foodcoach.me/recipe/pork-chops-with-sweet-apples/","Pork Chops with Sweet Apples - WLS Recipes")</f>
        <v>Pork Chops with Sweet Apples - WLS Recipes</v>
      </c>
      <c r="B360" s="4" t="s">
        <v>27</v>
      </c>
      <c r="C360" s="4" t="s">
        <v>5</v>
      </c>
      <c r="D360" s="4" t="s">
        <v>6</v>
      </c>
      <c r="E360" s="4" t="s">
        <v>7</v>
      </c>
    </row>
    <row r="361" spans="1:5">
      <c r="A361" s="3" t="str">
        <f>HYPERLINK("https://www.foodcoach.me/recipe/pork-medallions-with-roasted-red-pepper-sauce/","Pork Medallions with Roasted Red Pepper Sauce")</f>
        <v>Pork Medallions with Roasted Red Pepper Sauce</v>
      </c>
      <c r="B361" s="4" t="s">
        <v>112</v>
      </c>
      <c r="C361" s="4" t="s">
        <v>5</v>
      </c>
      <c r="D361" s="4" t="s">
        <v>6</v>
      </c>
      <c r="E361" s="4" t="s">
        <v>7</v>
      </c>
    </row>
    <row r="362" spans="1:5">
      <c r="A362" s="3" t="str">
        <f>HYPERLINK("https://www.foodcoach.me/recipe/pork-carrots-stir-fry/","Pork with Carrots Stir Fry")</f>
        <v>Pork with Carrots Stir Fry</v>
      </c>
      <c r="B362" s="4" t="s">
        <v>27</v>
      </c>
      <c r="C362" s="4" t="s">
        <v>5</v>
      </c>
      <c r="D362" s="4" t="s">
        <v>6</v>
      </c>
      <c r="E362" s="4" t="s">
        <v>7</v>
      </c>
    </row>
    <row r="363" spans="1:5">
      <c r="A363" s="3" t="str">
        <f>HYPERLINK("https://www.foodcoach.me/recipe/portabello-mushroom-pizzas/","Portabello Mushroom Pizzas - WLS Recipe")</f>
        <v>Portabello Mushroom Pizzas - WLS Recipe</v>
      </c>
      <c r="B363" s="4" t="s">
        <v>13</v>
      </c>
      <c r="C363" s="4" t="s">
        <v>12</v>
      </c>
      <c r="D363" s="4" t="s">
        <v>6</v>
      </c>
      <c r="E363" s="4" t="s">
        <v>7</v>
      </c>
    </row>
    <row r="364" spans="1:5">
      <c r="A364" s="3" t="str">
        <f>HYPERLINK("https://www.foodcoach.me/recipe/protein-hot-chocolate/","Protein Hot Chocolate")</f>
        <v>Protein Hot Chocolate</v>
      </c>
      <c r="B364" s="4" t="s">
        <v>32</v>
      </c>
      <c r="C364" s="4" t="s">
        <v>9</v>
      </c>
      <c r="D364" s="4" t="s">
        <v>33</v>
      </c>
      <c r="E364" s="4" t="s">
        <v>7</v>
      </c>
    </row>
    <row r="365" spans="1:5">
      <c r="A365" s="3" t="str">
        <f>HYPERLINK("https://www.foodcoach.me/recipe/protein-pumpkin-pancakes/","Protein Pumpkin Pancakes - WLS Recipe")</f>
        <v>Protein Pumpkin Pancakes - WLS Recipe</v>
      </c>
      <c r="B365" s="4" t="s">
        <v>113</v>
      </c>
      <c r="C365" s="4" t="s">
        <v>5</v>
      </c>
      <c r="D365" s="4" t="s">
        <v>41</v>
      </c>
      <c r="E365" s="4" t="s">
        <v>7</v>
      </c>
    </row>
    <row r="366" spans="1:5">
      <c r="A366" s="3" t="str">
        <f>HYPERLINK("https://www.foodcoach.me/recipe/protein-vanilla-latte/","Protein Vanilla Latte")</f>
        <v>Protein Vanilla Latte</v>
      </c>
      <c r="B366" s="4" t="s">
        <v>32</v>
      </c>
      <c r="C366" s="4" t="s">
        <v>9</v>
      </c>
      <c r="D366" s="4" t="s">
        <v>33</v>
      </c>
      <c r="E366" s="4" t="s">
        <v>14</v>
      </c>
    </row>
    <row r="367" spans="1:5">
      <c r="A367" s="3" t="str">
        <f>HYPERLINK("https://www.foodcoach.me/recipe/pumpkin-chili/","Pumpkin Chili")</f>
        <v>Pumpkin Chili</v>
      </c>
      <c r="B367" s="4" t="s">
        <v>4</v>
      </c>
      <c r="C367" s="4" t="s">
        <v>50</v>
      </c>
      <c r="D367" s="4" t="s">
        <v>6</v>
      </c>
      <c r="E367" s="4" t="s">
        <v>7</v>
      </c>
    </row>
    <row r="368" spans="1:5">
      <c r="A368" s="3" t="str">
        <f>HYPERLINK("https://www.foodcoach.me/recipe/pumpkin-whip-bariatric-sweet-treat/","Pumpkin Whip Bariatric Sweet Treat")</f>
        <v>Pumpkin Whip Bariatric Sweet Treat</v>
      </c>
      <c r="B368" s="4" t="s">
        <v>51</v>
      </c>
      <c r="C368" s="4" t="s">
        <v>9</v>
      </c>
      <c r="D368" s="4" t="s">
        <v>52</v>
      </c>
      <c r="E368" s="4" t="s">
        <v>7</v>
      </c>
    </row>
    <row r="369" spans="1:5">
      <c r="A369" s="3" t="str">
        <f>HYPERLINK("https://www.foodcoach.me/recipe/pureed-chicken-thigh-bake-bariatric-pureed-diet/","Pureed Chicken Thigh Bake - Bariatric Pureed Diet")</f>
        <v>Pureed Chicken Thigh Bake - Bariatric Pureed Diet</v>
      </c>
      <c r="B369" s="4" t="s">
        <v>48</v>
      </c>
      <c r="C369" s="4" t="s">
        <v>12</v>
      </c>
      <c r="D369" s="4" t="s">
        <v>54</v>
      </c>
      <c r="E369" s="4" t="s">
        <v>14</v>
      </c>
    </row>
    <row r="370" spans="1:5">
      <c r="A370" s="3" t="str">
        <f>HYPERLINK("https://www.foodcoach.me/recipe/pureed-salsa-and-beans/","Pureed Salsa and Beans")</f>
        <v>Pureed Salsa and Beans</v>
      </c>
      <c r="B370" s="4" t="s">
        <v>59</v>
      </c>
      <c r="C370" s="4" t="s">
        <v>5</v>
      </c>
      <c r="D370" s="4" t="s">
        <v>54</v>
      </c>
      <c r="E370" s="4" t="s">
        <v>7</v>
      </c>
    </row>
    <row r="371" spans="1:5">
      <c r="A371" s="8" t="s">
        <v>114</v>
      </c>
      <c r="B371" s="4" t="s">
        <v>48</v>
      </c>
      <c r="C371" s="4" t="s">
        <v>47</v>
      </c>
      <c r="D371" s="4" t="s">
        <v>29</v>
      </c>
      <c r="E371" s="4" t="s">
        <v>7</v>
      </c>
    </row>
    <row r="372" spans="1:5">
      <c r="A372" s="3" t="str">
        <f>HYPERLINK("https://www.foodcoach.me/recipe/quick-rosemary-pork-medallions/","Quick Rosemary Pork Medallions")</f>
        <v>Quick Rosemary Pork Medallions</v>
      </c>
      <c r="B372" s="4" t="s">
        <v>27</v>
      </c>
      <c r="C372" s="4" t="s">
        <v>5</v>
      </c>
      <c r="D372" s="4" t="s">
        <v>6</v>
      </c>
      <c r="E372" s="4" t="s">
        <v>14</v>
      </c>
    </row>
    <row r="373" spans="1:5">
      <c r="A373" s="3" t="str">
        <f>HYPERLINK("https://www.foodcoach.me/recipe/ranch-pork-chops/","Ranch Pork Chops")</f>
        <v>Ranch Pork Chops</v>
      </c>
      <c r="B373" s="4" t="s">
        <v>61</v>
      </c>
      <c r="C373" s="4" t="s">
        <v>12</v>
      </c>
      <c r="D373" s="4" t="s">
        <v>6</v>
      </c>
      <c r="E373" s="4" t="s">
        <v>7</v>
      </c>
    </row>
    <row r="374" spans="1:5">
      <c r="A374" s="3" t="str">
        <f>HYPERLINK("https://www.foodcoach.me/recipe/ranch-taco-chicken-bowl/","Ranch Taco Chicken Bowl - 3 Ingredient Bariatric Recipe")</f>
        <v>Ranch Taco Chicken Bowl - 3 Ingredient Bariatric Recipe</v>
      </c>
      <c r="B374" s="4" t="s">
        <v>11</v>
      </c>
      <c r="C374" s="4" t="s">
        <v>5</v>
      </c>
      <c r="D374" s="4" t="s">
        <v>6</v>
      </c>
      <c r="E374" s="4" t="s">
        <v>14</v>
      </c>
    </row>
    <row r="375" spans="1:5">
      <c r="A375" s="3" t="str">
        <f>HYPERLINK("https://www.foodcoach.me/recipe/red-pepper-bruschetta-turkey-meatballs-wls-recipe/","Red Pepper Bruschetta Turkey Meatballs - WLS Recipe")</f>
        <v>Red Pepper Bruschetta Turkey Meatballs - WLS Recipe</v>
      </c>
      <c r="B375" s="4" t="s">
        <v>13</v>
      </c>
      <c r="C375" s="4" t="s">
        <v>5</v>
      </c>
      <c r="D375" s="4" t="s">
        <v>6</v>
      </c>
      <c r="E375" s="4" t="s">
        <v>7</v>
      </c>
    </row>
    <row r="376" spans="1:5">
      <c r="A376" s="3" t="str">
        <f>HYPERLINK("https://www.foodcoach.me/recipe/red-pepper-enchilada-bean-puree-bariatric-pureed-diet/","Red Pepper Enchilada Bean Puree - Bariatric Pureed Diet")</f>
        <v>Red Pepper Enchilada Bean Puree - Bariatric Pureed Diet</v>
      </c>
      <c r="B376" s="4" t="s">
        <v>59</v>
      </c>
      <c r="C376" s="4" t="s">
        <v>5</v>
      </c>
      <c r="D376" s="4" t="s">
        <v>54</v>
      </c>
      <c r="E376" s="4" t="s">
        <v>7</v>
      </c>
    </row>
    <row r="377" spans="1:5">
      <c r="A377" s="3" t="str">
        <f>HYPERLINK("https://www.foodcoach.me/recipe/reduced-fat-green-bean-casserole/","Reduced-Fat Green Bean &amp; Mushroom Casserole")</f>
        <v>Reduced-Fat Green Bean &amp; Mushroom Casserole</v>
      </c>
      <c r="B377" s="4" t="s">
        <v>23</v>
      </c>
      <c r="C377" s="4" t="s">
        <v>12</v>
      </c>
      <c r="D377" s="4" t="s">
        <v>34</v>
      </c>
      <c r="E377" s="4" t="s">
        <v>7</v>
      </c>
    </row>
    <row r="378" spans="1:5">
      <c r="A378" s="3" t="str">
        <f>HYPERLINK("https://www.foodcoach.me/recipe/refried-bean-bowl/","Refried Bean Bowl")</f>
        <v>Refried Bean Bowl</v>
      </c>
      <c r="B378" s="4" t="s">
        <v>59</v>
      </c>
      <c r="C378" s="4" t="s">
        <v>9</v>
      </c>
      <c r="D378" s="4" t="s">
        <v>54</v>
      </c>
      <c r="E378" s="4" t="s">
        <v>14</v>
      </c>
    </row>
    <row r="379" spans="1:5">
      <c r="A379" s="3" t="str">
        <f>HYPERLINK("https://www.foodcoach.me/recipe/ricotta-protein-pancakes/","Ricotta Protein Pancakes")</f>
        <v>Ricotta Protein Pancakes</v>
      </c>
      <c r="B379" s="4" t="s">
        <v>115</v>
      </c>
      <c r="C379" s="4" t="s">
        <v>5</v>
      </c>
      <c r="D379" s="4" t="s">
        <v>54</v>
      </c>
      <c r="E379" s="4" t="s">
        <v>14</v>
      </c>
    </row>
    <row r="380" spans="1:5">
      <c r="A380" s="3" t="str">
        <f>HYPERLINK("https://www.foodcoach.me/recipe/roasted-cauliflower-salad/","Roasted Cauliflower Salad")</f>
        <v>Roasted Cauliflower Salad</v>
      </c>
      <c r="B380" s="4" t="s">
        <v>116</v>
      </c>
      <c r="C380" s="4" t="s">
        <v>12</v>
      </c>
      <c r="D380" s="4" t="s">
        <v>34</v>
      </c>
      <c r="E380" s="4" t="s">
        <v>7</v>
      </c>
    </row>
    <row r="381" spans="1:5">
      <c r="A381" s="3" t="str">
        <f>HYPERLINK("https://www.foodcoach.me/recipe/roasted-chicken-thighs-with-tomatoes-olives-feta/","Roasted Chicken Thighs with Tomatoes, Olives &amp; Feta")</f>
        <v>Roasted Chicken Thighs with Tomatoes, Olives &amp; Feta</v>
      </c>
      <c r="B381" s="4" t="s">
        <v>11</v>
      </c>
      <c r="C381" s="4" t="s">
        <v>12</v>
      </c>
      <c r="D381" s="4" t="s">
        <v>6</v>
      </c>
      <c r="E381" s="4" t="s">
        <v>7</v>
      </c>
    </row>
    <row r="382" spans="1:5">
      <c r="A382" s="3" t="str">
        <f>HYPERLINK("https://www.foodcoach.me/recipe/roasted-fish-veggies/","Roasted Fish and Veggies")</f>
        <v>Roasted Fish and Veggies</v>
      </c>
      <c r="B382" s="4" t="s">
        <v>21</v>
      </c>
      <c r="C382" s="4" t="s">
        <v>12</v>
      </c>
      <c r="D382" s="4" t="s">
        <v>6</v>
      </c>
      <c r="E382" s="4" t="s">
        <v>7</v>
      </c>
    </row>
    <row r="383" spans="1:5">
      <c r="A383" s="3" t="str">
        <f>HYPERLINK("https://www.foodcoach.me/recipe/roasted-parmesan-artichoke-appetizer/","Roasted Parmesan Artichokes")</f>
        <v>Roasted Parmesan Artichokes</v>
      </c>
      <c r="B383" s="4" t="s">
        <v>23</v>
      </c>
      <c r="C383" s="4" t="s">
        <v>12</v>
      </c>
      <c r="D383" s="4" t="s">
        <v>34</v>
      </c>
      <c r="E383" s="4" t="s">
        <v>7</v>
      </c>
    </row>
    <row r="384" spans="1:5">
      <c r="A384" s="3" t="str">
        <f>HYPERLINK("https://www.foodcoach.me/recipe/roasted-parmesan-broccoli/","Roasted Parmesan Broccoli - WLS Recipes")</f>
        <v>Roasted Parmesan Broccoli - WLS Recipes</v>
      </c>
      <c r="B384" s="4" t="s">
        <v>23</v>
      </c>
      <c r="C384" s="4" t="s">
        <v>12</v>
      </c>
      <c r="D384" s="4" t="s">
        <v>34</v>
      </c>
      <c r="E384" s="4" t="s">
        <v>7</v>
      </c>
    </row>
    <row r="385" spans="1:5">
      <c r="A385" s="3" t="str">
        <f>HYPERLINK("https://www.foodcoach.me/recipe/roasted-parmesan-brussels-sprouts/","Roasted Parmesan Brussels Sprouts - WLS Recipes")</f>
        <v>Roasted Parmesan Brussels Sprouts - WLS Recipes</v>
      </c>
      <c r="B385" s="4" t="s">
        <v>23</v>
      </c>
      <c r="C385" s="4" t="s">
        <v>12</v>
      </c>
      <c r="D385" s="4" t="s">
        <v>34</v>
      </c>
      <c r="E385" s="4" t="s">
        <v>7</v>
      </c>
    </row>
    <row r="386" spans="1:5">
      <c r="A386" s="3" t="str">
        <f>HYPERLINK("https://www.foodcoach.me/recipe/roasted-pear-feta-burger/","Roasted Pear &amp; Feta Burger - Low Carb WLS Recipe")</f>
        <v>Roasted Pear &amp; Feta Burger - Low Carb WLS Recipe</v>
      </c>
      <c r="B386" s="4" t="s">
        <v>13</v>
      </c>
      <c r="C386" s="4" t="s">
        <v>31</v>
      </c>
      <c r="D386" s="4" t="s">
        <v>6</v>
      </c>
      <c r="E386" s="4" t="s">
        <v>7</v>
      </c>
    </row>
    <row r="387" spans="1:5">
      <c r="A387" s="3" t="str">
        <f>HYPERLINK("https://www.foodcoach.me/recipe/roasted-summer-squash-ricotta-chicken-breasts/","Roasted Summer Squash &amp; Ricotta Chicken Breasts - WLS Recipe")</f>
        <v>Roasted Summer Squash &amp; Ricotta Chicken Breasts - WLS Recipe</v>
      </c>
      <c r="B387" s="4" t="s">
        <v>11</v>
      </c>
      <c r="C387" s="4" t="s">
        <v>12</v>
      </c>
      <c r="D387" s="4" t="s">
        <v>6</v>
      </c>
      <c r="E387" s="4" t="s">
        <v>14</v>
      </c>
    </row>
    <row r="388" spans="1:5">
      <c r="A388" s="3" t="str">
        <f>HYPERLINK("https://www.foodcoach.me/recipe/roasted-turkey-breast/","Roasted Turkey Breast - Thanksgiving for a Few")</f>
        <v>Roasted Turkey Breast - Thanksgiving for a Few</v>
      </c>
      <c r="B388" s="4" t="s">
        <v>13</v>
      </c>
      <c r="C388" s="4" t="s">
        <v>12</v>
      </c>
      <c r="D388" s="4" t="s">
        <v>6</v>
      </c>
      <c r="E388" s="4" t="s">
        <v>7</v>
      </c>
    </row>
    <row r="389" spans="1:5">
      <c r="A389" s="3" t="str">
        <f>HYPERLINK("https://www.foodcoach.me/recipe/roasted-turkey-spinach-bowl/","Roasted Turkey Spinach Bowl")</f>
        <v>Roasted Turkey Spinach Bowl</v>
      </c>
      <c r="B389" s="4" t="s">
        <v>104</v>
      </c>
      <c r="C389" s="4" t="s">
        <v>56</v>
      </c>
      <c r="D389" s="4" t="s">
        <v>75</v>
      </c>
      <c r="E389" s="4" t="s">
        <v>7</v>
      </c>
    </row>
    <row r="390" spans="1:5">
      <c r="A390" s="3" t="str">
        <f>HYPERLINK("https://www.foodcoach.me/recipe/root-beer-float-ice-cream/","Root Beer Float Ice Cream - WLS Dessert Recipe")</f>
        <v>Root Beer Float Ice Cream - WLS Dessert Recipe</v>
      </c>
      <c r="B390" s="4" t="s">
        <v>44</v>
      </c>
      <c r="C390" s="4" t="s">
        <v>9</v>
      </c>
      <c r="D390" s="4" t="s">
        <v>52</v>
      </c>
      <c r="E390" s="4" t="s">
        <v>7</v>
      </c>
    </row>
    <row r="391" spans="1:5">
      <c r="A391" s="3" t="str">
        <f>HYPERLINK("https://www.foodcoach.me/recipe/rosemary-sirloin-steak/","Rosemary Sirloin Steak")</f>
        <v>Rosemary Sirloin Steak</v>
      </c>
      <c r="B391" s="4" t="s">
        <v>4</v>
      </c>
      <c r="C391" s="4" t="s">
        <v>5</v>
      </c>
      <c r="D391" s="4" t="s">
        <v>6</v>
      </c>
      <c r="E391" s="4" t="s">
        <v>7</v>
      </c>
    </row>
    <row r="392" spans="1:5">
      <c r="A392" s="3" t="str">
        <f>HYPERLINK("https://www.foodcoach.me/recipe/rosemary-steak-and-tomatoes-skillet-dinner/","Rosemary Steak and Tomatoes Skillet Dinner")</f>
        <v>Rosemary Steak and Tomatoes Skillet Dinner</v>
      </c>
      <c r="B392" s="4" t="s">
        <v>4</v>
      </c>
      <c r="C392" s="4" t="s">
        <v>5</v>
      </c>
      <c r="D392" s="4" t="s">
        <v>6</v>
      </c>
      <c r="E392" s="4" t="s">
        <v>7</v>
      </c>
    </row>
    <row r="393" spans="1:5">
      <c r="A393" s="9" t="s">
        <v>117</v>
      </c>
      <c r="B393" s="4" t="s">
        <v>4</v>
      </c>
      <c r="C393" s="4" t="s">
        <v>5</v>
      </c>
      <c r="D393" s="4" t="s">
        <v>29</v>
      </c>
      <c r="E393" s="4" t="s">
        <v>14</v>
      </c>
    </row>
    <row r="394" spans="1:5">
      <c r="A394" s="3" t="str">
        <f>HYPERLINK("https://www.foodcoach.me/recipe/rosemary-turkey-tenderloin/","Rosemary Turkey Tenderloin")</f>
        <v>Rosemary Turkey Tenderloin</v>
      </c>
      <c r="B394" s="4" t="s">
        <v>104</v>
      </c>
      <c r="C394" s="4" t="s">
        <v>12</v>
      </c>
      <c r="D394" s="4" t="s">
        <v>6</v>
      </c>
      <c r="E394" s="4" t="s">
        <v>14</v>
      </c>
    </row>
    <row r="395" spans="1:5">
      <c r="A395" s="3" t="str">
        <f>HYPERLINK("https://www.foodcoach.me/recipe/salad-in-a-jar/","Salad Jar - Weight Loss Surgery Lunch")</f>
        <v>Salad Jar - Weight Loss Surgery Lunch</v>
      </c>
      <c r="B395" s="4" t="s">
        <v>48</v>
      </c>
      <c r="C395" s="4" t="s">
        <v>56</v>
      </c>
      <c r="D395" s="4" t="s">
        <v>6</v>
      </c>
      <c r="E395" s="4" t="s">
        <v>7</v>
      </c>
    </row>
    <row r="396" spans="1:5">
      <c r="A396" s="3" t="str">
        <f>HYPERLINK("https://www.foodcoach.me/recipe/salisbury-steak-with-mushroom-barbecue-sauce/","Salisbury Steak with Mushroom &amp; Barbecue Sauce - WLS Recipe")</f>
        <v>Salisbury Steak with Mushroom &amp; Barbecue Sauce - WLS Recipe</v>
      </c>
      <c r="B396" s="4" t="s">
        <v>72</v>
      </c>
      <c r="C396" s="4" t="s">
        <v>5</v>
      </c>
      <c r="D396" s="4" t="s">
        <v>6</v>
      </c>
      <c r="E396" s="4" t="s">
        <v>7</v>
      </c>
    </row>
    <row r="397" spans="1:5">
      <c r="A397" s="3" t="str">
        <f>HYPERLINK("https://www.foodcoach.me/recipe/salmon-cakes-for-one/","Salmon Cakes For One (Soft Phase Recipe)")</f>
        <v>Salmon Cakes For One (Soft Phase Recipe)</v>
      </c>
      <c r="B397" s="4" t="s">
        <v>43</v>
      </c>
      <c r="C397" s="4" t="s">
        <v>5</v>
      </c>
      <c r="D397" s="4" t="s">
        <v>6</v>
      </c>
      <c r="E397" s="4" t="s">
        <v>14</v>
      </c>
    </row>
    <row r="398" spans="1:5">
      <c r="A398" s="3" t="str">
        <f>HYPERLINK("https://www.foodcoach.me/recipe/salmon-florentine/","Salmon Florentine - WLS Recipes")</f>
        <v>Salmon Florentine - WLS Recipes</v>
      </c>
      <c r="B398" s="4" t="s">
        <v>21</v>
      </c>
      <c r="C398" s="4" t="s">
        <v>12</v>
      </c>
      <c r="D398" s="4" t="s">
        <v>6</v>
      </c>
      <c r="E398" s="4" t="s">
        <v>7</v>
      </c>
    </row>
    <row r="399" spans="1:5">
      <c r="A399" s="3" t="str">
        <f>HYPERLINK("https://www.foodcoach.me/recipe/salmon-foil-pack-with-tomatoes-onions/","Salmon Foil Pack with Tomatoes &amp; Onions")</f>
        <v>Salmon Foil Pack with Tomatoes &amp; Onions</v>
      </c>
      <c r="B399" s="4" t="s">
        <v>21</v>
      </c>
      <c r="C399" s="4" t="s">
        <v>31</v>
      </c>
      <c r="D399" s="4" t="s">
        <v>6</v>
      </c>
      <c r="E399" s="4" t="s">
        <v>7</v>
      </c>
    </row>
    <row r="400" spans="1:5">
      <c r="A400" s="3" t="str">
        <f>HYPERLINK("https://www.foodcoach.me/recipe/salmon-ricotta-omlette/","Salmon Ricotta Omlette")</f>
        <v>Salmon Ricotta Omlette</v>
      </c>
      <c r="B400" s="4" t="s">
        <v>43</v>
      </c>
      <c r="C400" s="4" t="s">
        <v>5</v>
      </c>
      <c r="D400" s="4" t="s">
        <v>41</v>
      </c>
      <c r="E400" s="4" t="s">
        <v>14</v>
      </c>
    </row>
    <row r="401" spans="1:5">
      <c r="A401" s="3" t="str">
        <f>HYPERLINK("https://www.foodcoach.me/recipe/pizza-eggs/","Salsa &amp; Eggs Turkey Skillet - High Protein Recipe")</f>
        <v>Salsa &amp; Eggs Turkey Skillet - High Protein Recipe</v>
      </c>
      <c r="B401" s="4" t="s">
        <v>39</v>
      </c>
      <c r="C401" s="4" t="s">
        <v>5</v>
      </c>
      <c r="D401" s="4" t="s">
        <v>6</v>
      </c>
      <c r="E401" s="4" t="s">
        <v>14</v>
      </c>
    </row>
    <row r="402" spans="1:5">
      <c r="A402" s="3" t="str">
        <f>HYPERLINK("https://www.foodcoach.me/recipe/salsa-verde-chicken-chili/","Salsa Verde Chicken Chili")</f>
        <v>Salsa Verde Chicken Chili</v>
      </c>
      <c r="B402" s="4" t="s">
        <v>11</v>
      </c>
      <c r="C402" s="4" t="s">
        <v>5</v>
      </c>
      <c r="D402" s="4" t="s">
        <v>6</v>
      </c>
      <c r="E402" s="4" t="s">
        <v>14</v>
      </c>
    </row>
    <row r="403" spans="1:5">
      <c r="A403" s="3" t="str">
        <f>HYPERLINK("https://www.foodcoach.me/recipe/pork-stuffed-poblano-peppers/","Salsa Verde Stuffed Poblano Peppers")</f>
        <v>Salsa Verde Stuffed Poblano Peppers</v>
      </c>
      <c r="B403" s="4" t="s">
        <v>104</v>
      </c>
      <c r="C403" s="4" t="s">
        <v>12</v>
      </c>
      <c r="D403" s="4" t="s">
        <v>6</v>
      </c>
      <c r="E403" s="4" t="s">
        <v>7</v>
      </c>
    </row>
    <row r="404" spans="1:5">
      <c r="A404" s="3" t="str">
        <f>HYPERLINK("https://www.foodcoach.me/recipe/santa-fe-pulled-chicken/","Santa Fe Pulled Chicken - WLS Recipes")</f>
        <v>Santa Fe Pulled Chicken - WLS Recipes</v>
      </c>
      <c r="B404" s="4" t="s">
        <v>11</v>
      </c>
      <c r="C404" s="4" t="s">
        <v>50</v>
      </c>
      <c r="D404" s="4" t="s">
        <v>6</v>
      </c>
      <c r="E404" s="4" t="s">
        <v>7</v>
      </c>
    </row>
    <row r="405" spans="1:5">
      <c r="A405" s="3" t="str">
        <f>HYPERLINK("https://www.foodcoach.me/recipe/sausage-stuffed-zucchini-boats/","Sausage Stuffed Zucchini Boats")</f>
        <v>Sausage Stuffed Zucchini Boats</v>
      </c>
      <c r="B405" s="4" t="s">
        <v>13</v>
      </c>
      <c r="C405" s="4" t="s">
        <v>12</v>
      </c>
      <c r="D405" s="4" t="s">
        <v>6</v>
      </c>
      <c r="E405" s="4" t="s">
        <v>7</v>
      </c>
    </row>
    <row r="406" spans="1:5">
      <c r="A406" s="3" t="str">
        <f>HYPERLINK("https://www.foodcoach.me/recipe/sauteed-brussel-sprout-salad/","Sauteed Brussel Sprout Salad")</f>
        <v>Sauteed Brussel Sprout Salad</v>
      </c>
      <c r="B406" s="4" t="s">
        <v>23</v>
      </c>
      <c r="C406" s="4" t="s">
        <v>5</v>
      </c>
      <c r="D406" s="4" t="s">
        <v>34</v>
      </c>
      <c r="E406" s="4" t="s">
        <v>7</v>
      </c>
    </row>
    <row r="407" spans="1:5">
      <c r="A407" s="3" t="str">
        <f>HYPERLINK("https://www.foodcoach.me/?s=Saut%C3%A9ed+Garlic+Mushrooms","Sautéed Garlic Mushrooms")</f>
        <v>Sautéed Garlic Mushrooms</v>
      </c>
      <c r="B407" s="4" t="s">
        <v>55</v>
      </c>
      <c r="C407" s="4" t="s">
        <v>5</v>
      </c>
      <c r="D407" s="4" t="s">
        <v>34</v>
      </c>
      <c r="E407" s="4" t="s">
        <v>14</v>
      </c>
    </row>
    <row r="408" spans="1:5">
      <c r="A408" s="3" t="str">
        <f>HYPERLINK("https://www.foodcoach.me/recipe/sauteed-garlic-snow-peas-the-lowest-starch-pea/","Sautéed Garlic Snow Peas (the lowest starch pea)")</f>
        <v>Sautéed Garlic Snow Peas (the lowest starch pea)</v>
      </c>
      <c r="B408" s="4" t="s">
        <v>23</v>
      </c>
      <c r="C408" s="4" t="s">
        <v>5</v>
      </c>
      <c r="D408" s="4" t="s">
        <v>34</v>
      </c>
      <c r="E408" s="4" t="s">
        <v>14</v>
      </c>
    </row>
    <row r="409" spans="1:5">
      <c r="A409" s="3" t="str">
        <f>HYPERLINK("https://www.foodcoach.me/recipe/sauteed-ranch-bell-peppers/","Sautéed Ranch Bell Peppers")</f>
        <v>Sautéed Ranch Bell Peppers</v>
      </c>
      <c r="B409" s="4" t="s">
        <v>55</v>
      </c>
      <c r="C409" s="4" t="s">
        <v>5</v>
      </c>
      <c r="D409" s="4" t="s">
        <v>34</v>
      </c>
      <c r="E409" s="4" t="s">
        <v>7</v>
      </c>
    </row>
    <row r="410" spans="1:5">
      <c r="A410" s="3" t="str">
        <f>HYPERLINK("https://www.foodcoach.me/recipe/scrambled-eggs-with-black-bean-puree-bariatric-pureedsoft-diet/","Scrambled Eggs with Black Bean Puree - Bariatric Pureed/Soft Diet")</f>
        <v>Scrambled Eggs with Black Bean Puree - Bariatric Pureed/Soft Diet</v>
      </c>
      <c r="B410" s="4" t="s">
        <v>80</v>
      </c>
      <c r="C410" s="4" t="s">
        <v>5</v>
      </c>
      <c r="D410" s="4" t="s">
        <v>54</v>
      </c>
      <c r="E410" s="4" t="s">
        <v>7</v>
      </c>
    </row>
    <row r="411" spans="1:5">
      <c r="A411" s="3" t="str">
        <f>HYPERLINK("https://www.foodcoach.me/recipe/scrambled-eggs-with-sliced-tomatoes/","Scrambled Eggs with Sliced Tomatoes")</f>
        <v>Scrambled Eggs with Sliced Tomatoes</v>
      </c>
      <c r="B411" s="4" t="s">
        <v>80</v>
      </c>
      <c r="C411" s="4" t="s">
        <v>5</v>
      </c>
      <c r="D411" s="4" t="s">
        <v>41</v>
      </c>
      <c r="E411" s="4" t="s">
        <v>7</v>
      </c>
    </row>
    <row r="412" spans="1:5">
      <c r="A412" s="3" t="str">
        <f>HYPERLINK("https://www.foodcoach.me/recipe/seared-pork-tenderloin-with-sun-dried-tomatoes/","Seared Pork Tenderloin with Sun-Dried Tomatoes")</f>
        <v>Seared Pork Tenderloin with Sun-Dried Tomatoes</v>
      </c>
      <c r="B412" s="4" t="s">
        <v>27</v>
      </c>
      <c r="C412" s="4" t="s">
        <v>12</v>
      </c>
      <c r="D412" s="4" t="s">
        <v>6</v>
      </c>
      <c r="E412" s="4" t="s">
        <v>7</v>
      </c>
    </row>
    <row r="413" spans="1:5">
      <c r="A413" s="3" t="str">
        <f>HYPERLINK("https://www.foodcoach.me/recipe/sheet-pan-lemon-chicken-with-green-beans/","Sheet Pan Lemon Chicken with Green Beans")</f>
        <v>Sheet Pan Lemon Chicken with Green Beans</v>
      </c>
      <c r="B413" s="4" t="s">
        <v>48</v>
      </c>
      <c r="C413" s="4" t="s">
        <v>12</v>
      </c>
      <c r="D413" s="4" t="s">
        <v>6</v>
      </c>
      <c r="E413" s="4" t="s">
        <v>14</v>
      </c>
    </row>
    <row r="414" spans="1:5">
      <c r="A414" s="3" t="str">
        <f>HYPERLINK("https://www.foodcoach.me/recipe/sheet-pan-pork-and-zucchini/","Sheet Pan Pork and Zucchini")</f>
        <v>Sheet Pan Pork and Zucchini</v>
      </c>
      <c r="B414" s="4" t="s">
        <v>61</v>
      </c>
      <c r="C414" s="4" t="s">
        <v>12</v>
      </c>
      <c r="D414" s="4" t="s">
        <v>6</v>
      </c>
      <c r="E414" s="4" t="s">
        <v>14</v>
      </c>
    </row>
    <row r="415" spans="1:5">
      <c r="A415" s="3" t="str">
        <f>HYPERLINK("https://www.foodcoach.me/recipe/sheet-pan-salmon-and-brussel-sprouts/","Sheet Pan Salmon and Brussel Sprouts")</f>
        <v>Sheet Pan Salmon and Brussel Sprouts</v>
      </c>
      <c r="B415" s="4" t="s">
        <v>43</v>
      </c>
      <c r="C415" s="4" t="s">
        <v>12</v>
      </c>
      <c r="D415" s="4" t="s">
        <v>6</v>
      </c>
      <c r="E415" s="4" t="s">
        <v>7</v>
      </c>
    </row>
    <row r="416" spans="1:5">
      <c r="A416" s="3" t="str">
        <f>HYPERLINK("https://www.foodcoach.me/recipe/shepherds-pie-mashed-cauliflower/","Shepherds Pie with Mashed Cauliflower")</f>
        <v>Shepherds Pie with Mashed Cauliflower</v>
      </c>
      <c r="B416" s="4" t="s">
        <v>4</v>
      </c>
      <c r="C416" s="4" t="s">
        <v>12</v>
      </c>
      <c r="D416" s="4" t="s">
        <v>6</v>
      </c>
      <c r="E416" s="4" t="s">
        <v>7</v>
      </c>
    </row>
    <row r="417" spans="1:5">
      <c r="A417" s="8" t="s">
        <v>118</v>
      </c>
      <c r="B417" s="4" t="s">
        <v>11</v>
      </c>
      <c r="C417" s="4" t="s">
        <v>47</v>
      </c>
      <c r="D417" s="4" t="s">
        <v>29</v>
      </c>
      <c r="E417" s="4" t="s">
        <v>14</v>
      </c>
    </row>
    <row r="418" spans="1:5">
      <c r="A418" s="3" t="str">
        <f>HYPERLINK("https://www.foodcoach.me/recipe/shredded-buffalo-chicken/","Shredded Buffalo Chicken - WLS Recipe")</f>
        <v>Shredded Buffalo Chicken - WLS Recipe</v>
      </c>
      <c r="B418" s="4" t="s">
        <v>11</v>
      </c>
      <c r="C418" s="4" t="s">
        <v>50</v>
      </c>
      <c r="D418" s="4" t="s">
        <v>6</v>
      </c>
      <c r="E418" s="4" t="s">
        <v>7</v>
      </c>
    </row>
    <row r="419" spans="1:5">
      <c r="A419" s="3" t="str">
        <f>HYPERLINK("https://www.foodcoach.me/recipe/shredded-buffalo-chicken-lettuce-wraps-bariatric-recipe/","Shredded Buffalo Chicken Lettuce Wraps - Bariatric Recipe")</f>
        <v>Shredded Buffalo Chicken Lettuce Wraps - Bariatric Recipe</v>
      </c>
      <c r="B419" s="4" t="s">
        <v>48</v>
      </c>
      <c r="C419" s="4" t="s">
        <v>50</v>
      </c>
      <c r="D419" s="4" t="s">
        <v>6</v>
      </c>
      <c r="E419" s="4" t="s">
        <v>7</v>
      </c>
    </row>
    <row r="420" spans="1:5">
      <c r="A420" s="3" t="str">
        <f>HYPERLINK("https://www.foodcoach.me/recipe/shredded-chicken-roast-and-carrots/","Shredded Chicken Roast and Carrots - WLS Recipe")</f>
        <v>Shredded Chicken Roast and Carrots - WLS Recipe</v>
      </c>
      <c r="B420" s="4" t="s">
        <v>11</v>
      </c>
      <c r="C420" s="4" t="s">
        <v>50</v>
      </c>
      <c r="D420" s="4" t="s">
        <v>6</v>
      </c>
      <c r="E420" s="4" t="s">
        <v>7</v>
      </c>
    </row>
    <row r="421" spans="1:5">
      <c r="A421" s="9" t="s">
        <v>119</v>
      </c>
      <c r="B421" s="6" t="s">
        <v>4</v>
      </c>
      <c r="C421" s="6" t="s">
        <v>85</v>
      </c>
      <c r="D421" s="6" t="s">
        <v>29</v>
      </c>
      <c r="E421" s="6" t="s">
        <v>14</v>
      </c>
    </row>
    <row r="422" spans="1:5">
      <c r="A422" s="3" t="str">
        <f>HYPERLINK("https://www.foodcoach.me/recipe/shredded-taco-beef/","Shredded Taco Beef")</f>
        <v>Shredded Taco Beef</v>
      </c>
      <c r="B422" s="4" t="s">
        <v>4</v>
      </c>
      <c r="C422" s="4" t="s">
        <v>50</v>
      </c>
      <c r="D422" s="4" t="s">
        <v>6</v>
      </c>
      <c r="E422" s="4" t="s">
        <v>7</v>
      </c>
    </row>
    <row r="423" spans="1:5">
      <c r="A423" s="7" t="s">
        <v>120</v>
      </c>
      <c r="B423" s="6"/>
      <c r="C423" s="6"/>
      <c r="D423" s="6" t="s">
        <v>29</v>
      </c>
      <c r="E423" s="6" t="s">
        <v>14</v>
      </c>
    </row>
    <row r="424" spans="1:5">
      <c r="A424" s="3" t="str">
        <f>HYPERLINK("https://www.foodcoach.me/recipe/shrimp-burgers/","Shrimp Burgers - Low Carb WLS Recipe")</f>
        <v>Shrimp Burgers - Low Carb WLS Recipe</v>
      </c>
      <c r="B424" s="4" t="s">
        <v>21</v>
      </c>
      <c r="C424" s="4" t="s">
        <v>31</v>
      </c>
      <c r="D424" s="4" t="s">
        <v>6</v>
      </c>
      <c r="E424" s="4" t="s">
        <v>7</v>
      </c>
    </row>
    <row r="425" spans="1:5">
      <c r="A425" s="3" t="str">
        <f>HYPERLINK("https://www.foodcoach.me/recipe/shrimp-ceviche/","Shrimp Ceviche")</f>
        <v>Shrimp Ceviche</v>
      </c>
      <c r="B425" s="4" t="s">
        <v>43</v>
      </c>
      <c r="C425" s="4" t="s">
        <v>9</v>
      </c>
      <c r="D425" s="4" t="s">
        <v>6</v>
      </c>
      <c r="E425" s="4" t="s">
        <v>14</v>
      </c>
    </row>
    <row r="426" spans="1:5">
      <c r="A426" s="3" t="str">
        <f>HYPERLINK("https://www.foodcoach.me/recipe/turkey-bacon-wrapped-jalapeno-poppers/","Shrimp Jalapeno Poppers")</f>
        <v>Shrimp Jalapeno Poppers</v>
      </c>
      <c r="B426" s="4" t="s">
        <v>23</v>
      </c>
      <c r="C426" s="4" t="s">
        <v>12</v>
      </c>
      <c r="D426" s="4" t="s">
        <v>6</v>
      </c>
      <c r="E426" s="4" t="s">
        <v>14</v>
      </c>
    </row>
    <row r="427" spans="1:5">
      <c r="A427" s="3" t="str">
        <f>HYPERLINK("https://www.foodcoach.me/recipe/shrimp-scampi-zucchini-noodles/","Shrimp Scampi with Zucchini Noodles")</f>
        <v>Shrimp Scampi with Zucchini Noodles</v>
      </c>
      <c r="B427" s="4" t="s">
        <v>21</v>
      </c>
      <c r="C427" s="4" t="s">
        <v>5</v>
      </c>
      <c r="D427" s="4" t="s">
        <v>6</v>
      </c>
      <c r="E427" s="4" t="s">
        <v>7</v>
      </c>
    </row>
    <row r="428" spans="1:5">
      <c r="A428" s="3" t="str">
        <f>HYPERLINK("https://www.foodcoach.me/recipe/shrimp-taco-salad-low-carb-wls-recipe/","Shrimp Taco Salad - Low Carb WLS Recipe")</f>
        <v>Shrimp Taco Salad - Low Carb WLS Recipe</v>
      </c>
      <c r="B428" s="4" t="s">
        <v>21</v>
      </c>
      <c r="C428" s="4" t="s">
        <v>5</v>
      </c>
      <c r="D428" s="4" t="s">
        <v>6</v>
      </c>
      <c r="E428" s="4" t="s">
        <v>14</v>
      </c>
    </row>
    <row r="429" spans="1:5">
      <c r="A429" s="3" t="str">
        <f>HYPERLINK("https://www.foodcoach.me/recipe/simple-italian-chili/","Simple Italian Chili - Bariatric Friendly")</f>
        <v>Simple Italian Chili - Bariatric Friendly</v>
      </c>
      <c r="B429" s="4" t="s">
        <v>13</v>
      </c>
      <c r="C429" s="4" t="s">
        <v>5</v>
      </c>
      <c r="D429" s="4" t="s">
        <v>6</v>
      </c>
      <c r="E429" s="4" t="s">
        <v>7</v>
      </c>
    </row>
    <row r="430" spans="1:5">
      <c r="A430" s="3" t="str">
        <f>HYPERLINK("https://www.foodcoach.me/recipe/simple-italian-stuffed-peppers/","Simple Italian Stuffed Peppers")</f>
        <v>Simple Italian Stuffed Peppers</v>
      </c>
      <c r="B430" s="4" t="s">
        <v>13</v>
      </c>
      <c r="C430" s="4" t="s">
        <v>12</v>
      </c>
      <c r="D430" s="4" t="s">
        <v>6</v>
      </c>
      <c r="E430" s="4" t="s">
        <v>7</v>
      </c>
    </row>
    <row r="431" spans="1:5">
      <c r="A431" s="3" t="str">
        <f>HYPERLINK("https://www.foodcoach.me/recipe/simple-salmon-burgers/","Simple Salmon Burgers")</f>
        <v>Simple Salmon Burgers</v>
      </c>
      <c r="B431" s="4" t="s">
        <v>21</v>
      </c>
      <c r="C431" s="4" t="s">
        <v>5</v>
      </c>
      <c r="D431" s="4" t="s">
        <v>6</v>
      </c>
      <c r="E431" s="4" t="s">
        <v>7</v>
      </c>
    </row>
    <row r="432" spans="1:5">
      <c r="A432" s="3" t="str">
        <f>HYPERLINK("https://www.foodcoach.me/recipe/simple-sauteed-zucchini-squash/","Simple Sauteed Zucchini Squash")</f>
        <v>Simple Sauteed Zucchini Squash</v>
      </c>
      <c r="B432" s="4" t="s">
        <v>23</v>
      </c>
      <c r="C432" s="4" t="s">
        <v>5</v>
      </c>
      <c r="D432" s="4" t="s">
        <v>34</v>
      </c>
      <c r="E432" s="4" t="s">
        <v>7</v>
      </c>
    </row>
    <row r="433" spans="1:5">
      <c r="A433" s="3" t="str">
        <f>HYPERLINK("https://www.foodcoach.me/recipe/sirloin-steak-with-creamy-blue-cheese/","Sirloin Steak with Creamy Blue Cheese")</f>
        <v>Sirloin Steak with Creamy Blue Cheese</v>
      </c>
      <c r="B433" s="4" t="s">
        <v>4</v>
      </c>
      <c r="C433" s="4" t="s">
        <v>31</v>
      </c>
      <c r="D433" s="4" t="s">
        <v>6</v>
      </c>
      <c r="E433" s="4" t="s">
        <v>7</v>
      </c>
    </row>
    <row r="434" spans="1:5">
      <c r="A434" s="3" t="str">
        <f>HYPERLINK("https://www.foodcoach.me/recipe/sirloin-steak-with-avocado-dressing/","Sirloin Steak with Tomatillo Avocado Dressing")</f>
        <v>Sirloin Steak with Tomatillo Avocado Dressing</v>
      </c>
      <c r="B434" s="4" t="s">
        <v>4</v>
      </c>
      <c r="C434" s="4" t="s">
        <v>31</v>
      </c>
      <c r="D434" s="4" t="s">
        <v>6</v>
      </c>
      <c r="E434" s="4" t="s">
        <v>7</v>
      </c>
    </row>
    <row r="435" spans="1:5">
      <c r="A435" s="8" t="s">
        <v>122</v>
      </c>
      <c r="B435" s="4" t="s">
        <v>23</v>
      </c>
      <c r="C435" s="4" t="s">
        <v>5</v>
      </c>
      <c r="D435" s="4" t="s">
        <v>6</v>
      </c>
      <c r="E435" s="4" t="s">
        <v>7</v>
      </c>
    </row>
    <row r="436" spans="1:5">
      <c r="A436" s="3" t="str">
        <f>HYPERLINK("https://www.foodcoach.me/recipe/sliced-steak-with-sauteed-mushrooms/","Sliced Steak with Sauteed Mushrooms")</f>
        <v>Sliced Steak with Sauteed Mushrooms</v>
      </c>
      <c r="B436" s="4" t="s">
        <v>4</v>
      </c>
      <c r="C436" s="4" t="s">
        <v>31</v>
      </c>
      <c r="D436" s="4" t="s">
        <v>6</v>
      </c>
      <c r="E436" s="4" t="s">
        <v>7</v>
      </c>
    </row>
    <row r="437" spans="1:5">
      <c r="A437" s="3" t="str">
        <f>HYPERLINK("https://www.foodcoach.me/recipe/sloppy-spinach-stuffed-peppers-wls-recipe/","Sloppy Spinach Stuffed Peppers - WLS Recipe")</f>
        <v>Sloppy Spinach Stuffed Peppers - WLS Recipe</v>
      </c>
      <c r="B437" s="4" t="s">
        <v>4</v>
      </c>
      <c r="C437" s="4" t="s">
        <v>12</v>
      </c>
      <c r="D437" s="4" t="s">
        <v>6</v>
      </c>
      <c r="E437" s="4" t="s">
        <v>7</v>
      </c>
    </row>
    <row r="438" spans="1:5">
      <c r="A438" s="3" t="str">
        <f>HYPERLINK("https://www.foodcoach.me/recipe/slow-cooker-beef-broccoli/","Slow Cooker Beef and Broccoli")</f>
        <v>Slow Cooker Beef and Broccoli</v>
      </c>
      <c r="B438" s="4" t="s">
        <v>30</v>
      </c>
      <c r="C438" s="4" t="s">
        <v>50</v>
      </c>
      <c r="D438" s="4" t="s">
        <v>6</v>
      </c>
      <c r="E438" s="4" t="s">
        <v>14</v>
      </c>
    </row>
    <row r="439" spans="1:5">
      <c r="A439" s="8" t="s">
        <v>123</v>
      </c>
      <c r="B439" s="4" t="s">
        <v>30</v>
      </c>
      <c r="C439" s="4" t="s">
        <v>50</v>
      </c>
      <c r="D439" s="4" t="s">
        <v>29</v>
      </c>
      <c r="E439" s="4" t="s">
        <v>14</v>
      </c>
    </row>
    <row r="440" spans="1:5">
      <c r="A440" s="3" t="str">
        <f>HYPERLINK("https://www.foodcoach.me/recipe/slow-cooker-honey-mustard-pork/","Slow Cooker Honey Mustard Pork")</f>
        <v>Slow Cooker Honey Mustard Pork</v>
      </c>
      <c r="B440" s="4" t="s">
        <v>27</v>
      </c>
      <c r="C440" s="4" t="s">
        <v>50</v>
      </c>
      <c r="D440" s="4" t="s">
        <v>6</v>
      </c>
      <c r="E440" s="4" t="s">
        <v>7</v>
      </c>
    </row>
    <row r="441" spans="1:5">
      <c r="A441" s="3" t="str">
        <f>HYPERLINK("https://www.foodcoach.me/slow-cooker-italian-chicken-thighs-2/","Slow Cooker Italian Chicken Thighs")</f>
        <v>Slow Cooker Italian Chicken Thighs</v>
      </c>
      <c r="B441" s="4" t="s">
        <v>11</v>
      </c>
      <c r="C441" s="4" t="s">
        <v>50</v>
      </c>
      <c r="D441" s="4" t="s">
        <v>6</v>
      </c>
      <c r="E441" s="4" t="s">
        <v>7</v>
      </c>
    </row>
    <row r="442" spans="1:5">
      <c r="A442" s="3" t="str">
        <f>HYPERLINK("https://www.foodcoach.me/recipe/slow-cooker-pork-carnita-nachos-wls-recipes/","Slow Cooker Pork Carnita ""Nachos"" - WLS Recipes")</f>
        <v>Slow Cooker Pork Carnita "Nachos" - WLS Recipes</v>
      </c>
      <c r="B442" s="4" t="s">
        <v>61</v>
      </c>
      <c r="C442" s="4" t="s">
        <v>50</v>
      </c>
      <c r="D442" s="4" t="s">
        <v>6</v>
      </c>
      <c r="E442" s="4" t="s">
        <v>7</v>
      </c>
    </row>
    <row r="443" spans="1:5">
      <c r="A443" s="3" t="str">
        <f>HYPERLINK("https://www.foodcoach.me/recipe/slow-cooker-pork-with-apples-carrots/","Slow Cooker Pork with Apples &amp; Carrots")</f>
        <v>Slow Cooker Pork with Apples &amp; Carrots</v>
      </c>
      <c r="B443" s="4" t="s">
        <v>27</v>
      </c>
      <c r="C443" s="4" t="s">
        <v>50</v>
      </c>
      <c r="D443" s="4" t="s">
        <v>6</v>
      </c>
      <c r="E443" s="4" t="s">
        <v>7</v>
      </c>
    </row>
    <row r="444" spans="1:5">
      <c r="A444" s="3" t="str">
        <f>HYPERLINK("https://www.foodcoach.me/recipe/slow-cooker-pork-with-apples-and-carrots/","Slow Cooker Pork with Apples and Carrots")</f>
        <v>Slow Cooker Pork with Apples and Carrots</v>
      </c>
      <c r="B444" s="4" t="s">
        <v>27</v>
      </c>
      <c r="C444" s="4" t="s">
        <v>50</v>
      </c>
      <c r="D444" s="4" t="s">
        <v>6</v>
      </c>
      <c r="E444" s="4" t="s">
        <v>7</v>
      </c>
    </row>
    <row r="445" spans="1:5">
      <c r="A445" s="3" t="str">
        <f>HYPERLINK("https://www.foodcoach.me/recipe/slow-cooker-roast-and-carrots/","Slow Cooker Roast and Carrots")</f>
        <v>Slow Cooker Roast and Carrots</v>
      </c>
      <c r="B445" s="4" t="s">
        <v>4</v>
      </c>
      <c r="C445" s="4" t="s">
        <v>31</v>
      </c>
      <c r="D445" s="4" t="s">
        <v>6</v>
      </c>
      <c r="E445" s="4" t="s">
        <v>7</v>
      </c>
    </row>
    <row r="446" spans="1:5">
      <c r="A446" s="3" t="str">
        <f>HYPERLINK("https://www.foodcoach.me/recipe/slow-cooker-sloppy-joe-bowl/","Slow Cooker Sloppy Joe Bowl")</f>
        <v>Slow Cooker Sloppy Joe Bowl</v>
      </c>
      <c r="B446" s="4" t="s">
        <v>4</v>
      </c>
      <c r="C446" s="4" t="s">
        <v>50</v>
      </c>
      <c r="D446" s="4" t="s">
        <v>6</v>
      </c>
      <c r="E446" s="4" t="s">
        <v>7</v>
      </c>
    </row>
    <row r="447" spans="1:5">
      <c r="A447" s="3" t="str">
        <f>HYPERLINK("https://www.foodcoach.me/recipe/slow-cooker-steak-and-tomatoes/","Slow Cooker Steak and Tomatoes")</f>
        <v>Slow Cooker Steak and Tomatoes</v>
      </c>
      <c r="B447" s="4" t="s">
        <v>4</v>
      </c>
      <c r="C447" s="4" t="s">
        <v>50</v>
      </c>
      <c r="D447" s="4" t="s">
        <v>6</v>
      </c>
      <c r="E447" s="4" t="s">
        <v>7</v>
      </c>
    </row>
    <row r="448" spans="1:5">
      <c r="A448" s="3" t="str">
        <f>HYPERLINK("https://www.foodcoach.me/recipe/slow-cooker-4-ingredient-green-chile-chicken/","Slow Cooker: 4 Ingredient Green Chile Chicken")</f>
        <v>Slow Cooker: 4 Ingredient Green Chile Chicken</v>
      </c>
      <c r="B448" s="4" t="s">
        <v>11</v>
      </c>
      <c r="C448" s="4" t="s">
        <v>50</v>
      </c>
      <c r="D448" s="4" t="s">
        <v>6</v>
      </c>
      <c r="E448" s="4" t="s">
        <v>14</v>
      </c>
    </row>
    <row r="449" spans="1:5">
      <c r="A449" s="3" t="str">
        <f>HYPERLINK("https://www.foodcoach.me/recipe/smoked-salmon-pate-bariatric-pureed-diet/","Smoked Salmon Pate - Bariatric Pureed Diet")</f>
        <v>Smoked Salmon Pate - Bariatric Pureed Diet</v>
      </c>
      <c r="B449" s="4" t="s">
        <v>43</v>
      </c>
      <c r="C449" s="4" t="s">
        <v>9</v>
      </c>
      <c r="D449" s="4" t="s">
        <v>54</v>
      </c>
      <c r="E449" s="4" t="s">
        <v>7</v>
      </c>
    </row>
    <row r="450" spans="1:5">
      <c r="A450" s="3" t="str">
        <f>HYPERLINK("https://www.foodcoach.me/recipe/soft-diet-chicken-lasagna/","Soft Chicken Lasagna Bowl")</f>
        <v>Soft Chicken Lasagna Bowl</v>
      </c>
      <c r="B450" s="4" t="s">
        <v>11</v>
      </c>
      <c r="C450" s="4" t="s">
        <v>9</v>
      </c>
      <c r="D450" s="4" t="s">
        <v>54</v>
      </c>
      <c r="E450" s="4" t="s">
        <v>14</v>
      </c>
    </row>
    <row r="451" spans="1:5">
      <c r="A451" s="3" t="str">
        <f>HYPERLINK("https://www.foodcoach.me/recipe/soft-crab-salad/","Soft Crab Salad")</f>
        <v>Soft Crab Salad</v>
      </c>
      <c r="B451" s="4" t="s">
        <v>43</v>
      </c>
      <c r="C451" s="4" t="s">
        <v>9</v>
      </c>
      <c r="D451" s="4" t="s">
        <v>54</v>
      </c>
      <c r="E451" s="4" t="s">
        <v>7</v>
      </c>
    </row>
    <row r="452" spans="1:5">
      <c r="A452" s="3" t="str">
        <f>HYPERLINK("https://www.foodcoach.me/recipe/soft-mexican-chicken-salad/","Soft Mexican Chicken Salad")</f>
        <v>Soft Mexican Chicken Salad</v>
      </c>
      <c r="B452" s="4" t="s">
        <v>48</v>
      </c>
      <c r="C452" s="4" t="s">
        <v>9</v>
      </c>
      <c r="D452" s="4" t="s">
        <v>54</v>
      </c>
      <c r="E452" s="4" t="s">
        <v>7</v>
      </c>
    </row>
    <row r="453" spans="1:5">
      <c r="A453" s="3" t="str">
        <f>HYPERLINK("https://www.foodcoach.me/recipe/soft-phase-recipe-cream-of-mushroom-chicken-thighs/","Soft Phase Recipe - Cream of Mushroom Chicken Thighs")</f>
        <v>Soft Phase Recipe - Cream of Mushroom Chicken Thighs</v>
      </c>
      <c r="B453" s="4" t="s">
        <v>11</v>
      </c>
      <c r="C453" s="4" t="s">
        <v>12</v>
      </c>
      <c r="D453" s="4" t="s">
        <v>54</v>
      </c>
      <c r="E453" s="4" t="s">
        <v>7</v>
      </c>
    </row>
    <row r="454" spans="1:5">
      <c r="A454" s="3" t="str">
        <f>HYPERLINK("https://www.foodcoach.me/recipe/south-border-meatloaf/","South of the Border Meatloaf - WLS Recipes")</f>
        <v>South of the Border Meatloaf - WLS Recipes</v>
      </c>
      <c r="B454" s="4" t="s">
        <v>4</v>
      </c>
      <c r="C454" s="4" t="s">
        <v>12</v>
      </c>
      <c r="D454" s="4" t="s">
        <v>6</v>
      </c>
      <c r="E454" s="4" t="s">
        <v>14</v>
      </c>
    </row>
    <row r="455" spans="1:5">
      <c r="A455" s="3" t="str">
        <f>HYPERLINK("https://www.foodcoach.me/recipe/southwest-chicken-burger-with-avocado/","Southwest Burger with Avocado")</f>
        <v>Southwest Burger with Avocado</v>
      </c>
      <c r="B455" s="4" t="s">
        <v>11</v>
      </c>
      <c r="C455" s="4" t="s">
        <v>12</v>
      </c>
      <c r="D455" s="4" t="s">
        <v>6</v>
      </c>
      <c r="E455" s="4" t="s">
        <v>7</v>
      </c>
    </row>
    <row r="456" spans="1:5">
      <c r="A456" s="3" t="str">
        <f>HYPERLINK("https://www.foodcoach.me/recipe/southwest-chicken-salad/","Southwest Chicken Salad - WLS Recipes")</f>
        <v>Southwest Chicken Salad - WLS Recipes</v>
      </c>
      <c r="B456" s="4" t="s">
        <v>11</v>
      </c>
      <c r="C456" s="4" t="s">
        <v>31</v>
      </c>
      <c r="D456" s="4" t="s">
        <v>6</v>
      </c>
      <c r="E456" s="4" t="s">
        <v>7</v>
      </c>
    </row>
    <row r="457" spans="1:5">
      <c r="A457" s="3" t="str">
        <f>HYPERLINK("https://www.foodcoach.me/recipe/southwest-egg-casserole/","Southwest Egg Casserole - WLS Recipes")</f>
        <v>Southwest Egg Casserole - WLS Recipes</v>
      </c>
      <c r="B457" s="4" t="s">
        <v>39</v>
      </c>
      <c r="C457" s="4" t="s">
        <v>12</v>
      </c>
      <c r="D457" s="4" t="s">
        <v>41</v>
      </c>
      <c r="E457" s="4" t="s">
        <v>14</v>
      </c>
    </row>
    <row r="458" spans="1:5">
      <c r="A458" s="3" t="str">
        <f>HYPERLINK("https://www.foodcoach.me/recipe/southwest-stuffed-burger/","Southwest Stuffed Burger")</f>
        <v>Southwest Stuffed Burger</v>
      </c>
      <c r="B458" s="4" t="s">
        <v>4</v>
      </c>
      <c r="C458" s="4" t="s">
        <v>5</v>
      </c>
      <c r="D458" s="4" t="s">
        <v>6</v>
      </c>
      <c r="E458" s="4" t="s">
        <v>7</v>
      </c>
    </row>
    <row r="459" spans="1:5">
      <c r="A459" s="3" t="str">
        <f>HYPERLINK("https://www.foodcoach.me/recipe/spaghetti-squash-baked-lasagna/","Spaghetti Squash Baked Lasagna - WLS Recipes")</f>
        <v>Spaghetti Squash Baked Lasagna - WLS Recipes</v>
      </c>
      <c r="B459" s="4" t="s">
        <v>23</v>
      </c>
      <c r="C459" s="4" t="s">
        <v>12</v>
      </c>
      <c r="D459" s="4" t="s">
        <v>6</v>
      </c>
      <c r="E459" s="4" t="s">
        <v>7</v>
      </c>
    </row>
    <row r="460" spans="1:5">
      <c r="A460" s="3" t="str">
        <f>HYPERLINK("https://www.foodcoach.me/recipe/spaghetti-squash-lasagna-casserole/","Spaghetti Squash Lasagna Casserole - Bariatric Recipes")</f>
        <v>Spaghetti Squash Lasagna Casserole - Bariatric Recipes</v>
      </c>
      <c r="B460" s="4" t="s">
        <v>13</v>
      </c>
      <c r="C460" s="4" t="s">
        <v>12</v>
      </c>
      <c r="D460" s="4" t="s">
        <v>6</v>
      </c>
      <c r="E460" s="4" t="s">
        <v>7</v>
      </c>
    </row>
    <row r="461" spans="1:5">
      <c r="A461" s="3" t="str">
        <f>HYPERLINK("https://www.foodcoach.me/recipe/spiced-yogurt-marinated-chicken/","Spiced Yogurt Marinated Chicken - WLS Recipes")</f>
        <v>Spiced Yogurt Marinated Chicken - WLS Recipes</v>
      </c>
      <c r="B461" s="4" t="s">
        <v>11</v>
      </c>
      <c r="C461" s="4" t="s">
        <v>31</v>
      </c>
      <c r="D461" s="4" t="s">
        <v>6</v>
      </c>
      <c r="E461" s="4" t="s">
        <v>14</v>
      </c>
    </row>
    <row r="462" spans="1:5">
      <c r="A462" s="3" t="str">
        <f>HYPERLINK("https://www.foodcoach.me/recipe/spicy-fish-taco-salad/","Spicy Fish Taco Salad")</f>
        <v>Spicy Fish Taco Salad</v>
      </c>
      <c r="B462" s="4" t="s">
        <v>43</v>
      </c>
      <c r="C462" s="4" t="s">
        <v>5</v>
      </c>
      <c r="D462" s="4" t="s">
        <v>6</v>
      </c>
      <c r="E462" s="4" t="s">
        <v>14</v>
      </c>
    </row>
    <row r="463" spans="1:5">
      <c r="A463" s="3" t="str">
        <f>HYPERLINK("https://www.foodcoach.me/recipe/spicy-shrimp-burrito-bowl/","Spicy Shrimp ""Burrito"" Bowl")</f>
        <v>Spicy Shrimp "Burrito" Bowl</v>
      </c>
      <c r="B463" s="4" t="s">
        <v>43</v>
      </c>
      <c r="C463" s="4" t="s">
        <v>5</v>
      </c>
      <c r="D463" s="4" t="s">
        <v>6</v>
      </c>
      <c r="E463" s="4" t="s">
        <v>7</v>
      </c>
    </row>
    <row r="464" spans="1:5">
      <c r="A464" s="3" t="str">
        <f>HYPERLINK("https://www.foodcoach.me/recipe/spinach-feta-stuffed-chicken-breast/","Spinach &amp; Feta Stuffed Chicken Breast - WLS Recipes")</f>
        <v>Spinach &amp; Feta Stuffed Chicken Breast - WLS Recipes</v>
      </c>
      <c r="B464" s="4" t="s">
        <v>11</v>
      </c>
      <c r="C464" s="4" t="s">
        <v>12</v>
      </c>
      <c r="D464" s="4" t="s">
        <v>6</v>
      </c>
      <c r="E464" s="4" t="s">
        <v>7</v>
      </c>
    </row>
    <row r="465" spans="1:5">
      <c r="A465" s="3" t="str">
        <f>HYPERLINK("https://www.foodcoach.me/recipe/spinach-red-pepper-frittata/","Spinach &amp; Red Pepper Frittata")</f>
        <v>Spinach &amp; Red Pepper Frittata</v>
      </c>
      <c r="B465" s="4" t="s">
        <v>124</v>
      </c>
      <c r="C465" s="4" t="s">
        <v>5</v>
      </c>
      <c r="D465" s="4" t="s">
        <v>6</v>
      </c>
      <c r="E465" s="4" t="s">
        <v>7</v>
      </c>
    </row>
    <row r="466" spans="1:5">
      <c r="A466" s="3" t="str">
        <f>HYPERLINK("https://www.foodcoach.me/recipe/spinach-feta-egg-scramble/","Spinach and Feta Egg Scramble")</f>
        <v>Spinach and Feta Egg Scramble</v>
      </c>
      <c r="B466" s="4" t="s">
        <v>39</v>
      </c>
      <c r="C466" s="4" t="s">
        <v>5</v>
      </c>
      <c r="D466" s="4" t="s">
        <v>41</v>
      </c>
      <c r="E466" s="4" t="s">
        <v>14</v>
      </c>
    </row>
    <row r="467" spans="1:5">
      <c r="A467" s="3" t="str">
        <f>HYPERLINK("https://www.foodcoach.me/recipe/spinach-feta-stuffed-meatloaf/","Spinach and Feta Stuffed Meatloaf")</f>
        <v>Spinach and Feta Stuffed Meatloaf</v>
      </c>
      <c r="B467" s="4" t="s">
        <v>13</v>
      </c>
      <c r="C467" s="4" t="s">
        <v>12</v>
      </c>
      <c r="D467" s="4" t="s">
        <v>6</v>
      </c>
      <c r="E467" s="4" t="s">
        <v>7</v>
      </c>
    </row>
    <row r="468" spans="1:5">
      <c r="A468" s="3" t="str">
        <f>HYPERLINK("https://www.foodcoach.me/recipe/spinach-pesto-and-chicken-sausage-egg-bake/","Spinach Pesto and Chicken Sausage Egg Bake")</f>
        <v>Spinach Pesto and Chicken Sausage Egg Bake</v>
      </c>
      <c r="B468" s="4" t="s">
        <v>39</v>
      </c>
      <c r="C468" s="4" t="s">
        <v>12</v>
      </c>
      <c r="D468" s="4" t="s">
        <v>41</v>
      </c>
      <c r="E468" s="4" t="s">
        <v>7</v>
      </c>
    </row>
    <row r="469" spans="1:5">
      <c r="A469" s="3" t="str">
        <f>HYPERLINK("https://www.foodcoach.me/recipe/steak-avocado-tomatillo-topping/","Steak Avocado-Tomatillo Topping")</f>
        <v>Steak Avocado-Tomatillo Topping</v>
      </c>
      <c r="B469" s="4" t="s">
        <v>4</v>
      </c>
      <c r="C469" s="4" t="s">
        <v>31</v>
      </c>
      <c r="D469" s="4" t="s">
        <v>6</v>
      </c>
      <c r="E469" s="4" t="s">
        <v>7</v>
      </c>
    </row>
    <row r="470" spans="1:5">
      <c r="A470" s="3" t="str">
        <f>HYPERLINK("https://www.foodcoach.me/recipe/steak-caesar-salad/","Steak Caesar Salad - WLS Recipe")</f>
        <v>Steak Caesar Salad - WLS Recipe</v>
      </c>
      <c r="B470" s="4" t="s">
        <v>4</v>
      </c>
      <c r="C470" s="4" t="s">
        <v>31</v>
      </c>
      <c r="D470" s="4" t="s">
        <v>6</v>
      </c>
      <c r="E470" s="4" t="s">
        <v>7</v>
      </c>
    </row>
    <row r="471" spans="1:5">
      <c r="A471" s="3" t="str">
        <f>HYPERLINK("https://www.foodcoach.me/recipe/steak-fajita-stuffed-peppers/","Steak Fajita Stuffed Peppers")</f>
        <v>Steak Fajita Stuffed Peppers</v>
      </c>
      <c r="B471" s="4" t="s">
        <v>4</v>
      </c>
      <c r="C471" s="4" t="s">
        <v>12</v>
      </c>
      <c r="D471" s="4" t="s">
        <v>6</v>
      </c>
      <c r="E471" s="4" t="s">
        <v>7</v>
      </c>
    </row>
    <row r="472" spans="1:5">
      <c r="A472" s="3" t="str">
        <f>HYPERLINK("https://www.foodcoach.me/recipe/steak-sauce-burger/","Steak Sauce Burger - Bariatric Recipe")</f>
        <v>Steak Sauce Burger - Bariatric Recipe</v>
      </c>
      <c r="B472" s="4" t="s">
        <v>4</v>
      </c>
      <c r="C472" s="4" t="s">
        <v>31</v>
      </c>
      <c r="D472" s="4" t="s">
        <v>6</v>
      </c>
      <c r="E472" s="4" t="s">
        <v>7</v>
      </c>
    </row>
    <row r="473" spans="1:5">
      <c r="A473" s="3" t="str">
        <f>HYPERLINK("https://www.foodcoach.me/recipe/simple-beefy-onion-meatloaf-low-carb-wls-recipe/","Steak Sauce Meatloaf - Simple Low Carb WLS Recipe")</f>
        <v>Steak Sauce Meatloaf - Simple Low Carb WLS Recipe</v>
      </c>
      <c r="B473" s="4" t="s">
        <v>4</v>
      </c>
      <c r="C473" s="4" t="s">
        <v>12</v>
      </c>
      <c r="D473" s="4" t="s">
        <v>6</v>
      </c>
      <c r="E473" s="4" t="s">
        <v>7</v>
      </c>
    </row>
    <row r="474" spans="1:5">
      <c r="A474" s="3" t="str">
        <f>HYPERLINK("https://www.foodcoach.me/recipe/strawberry-cobb-salad/","Strawberry Cobb Salad")</f>
        <v>Strawberry Cobb Salad</v>
      </c>
      <c r="B474" s="4" t="s">
        <v>23</v>
      </c>
      <c r="C474" s="4" t="s">
        <v>9</v>
      </c>
      <c r="D474" s="4" t="s">
        <v>6</v>
      </c>
      <c r="E474" s="4" t="s">
        <v>7</v>
      </c>
    </row>
    <row r="475" spans="1:5">
      <c r="A475" s="3" t="str">
        <f>HYPERLINK("https://www.foodcoach.me/recipe/strawberry-greek-yogurt-whip/","Strawberry Greek Yogurt Whip")</f>
        <v>Strawberry Greek Yogurt Whip</v>
      </c>
      <c r="B475" s="4" t="s">
        <v>83</v>
      </c>
      <c r="C475" s="4" t="s">
        <v>56</v>
      </c>
      <c r="D475" s="4" t="s">
        <v>52</v>
      </c>
      <c r="E475" s="4" t="s">
        <v>7</v>
      </c>
    </row>
    <row r="476" spans="1:5">
      <c r="A476" s="3" t="str">
        <f>HYPERLINK("https://www.foodcoach.me/recipe/strawberry-sorbet/","Strawberry Sorbet")</f>
        <v>Strawberry Sorbet</v>
      </c>
      <c r="B476" s="4" t="s">
        <v>44</v>
      </c>
      <c r="C476" s="4" t="s">
        <v>9</v>
      </c>
      <c r="D476" s="4" t="s">
        <v>52</v>
      </c>
      <c r="E476" s="4" t="s">
        <v>7</v>
      </c>
    </row>
    <row r="477" spans="1:5">
      <c r="A477" s="7" t="s">
        <v>125</v>
      </c>
      <c r="B477" s="6"/>
      <c r="C477" s="6"/>
      <c r="D477" s="6" t="s">
        <v>29</v>
      </c>
      <c r="E477" s="6"/>
    </row>
    <row r="478" spans="1:5">
      <c r="A478" s="3" t="str">
        <f>HYPERLINK("https://www.foodcoach.me/recipe/sugar-free-arnold-palmer/","Sugar Free Lemonade Tea")</f>
        <v>Sugar Free Lemonade Tea</v>
      </c>
      <c r="B478" s="4" t="s">
        <v>66</v>
      </c>
      <c r="C478" s="4" t="s">
        <v>9</v>
      </c>
      <c r="D478" s="4" t="s">
        <v>33</v>
      </c>
      <c r="E478" s="4" t="s">
        <v>7</v>
      </c>
    </row>
    <row r="479" spans="1:5">
      <c r="A479" s="3" t="str">
        <f>HYPERLINK("https://www.foodcoach.me/recipe/sugar-free-strawberry-limeade/","Sugar Free Strawberry Limeade")</f>
        <v>Sugar Free Strawberry Limeade</v>
      </c>
      <c r="B479" s="4" t="s">
        <v>32</v>
      </c>
      <c r="C479" s="4" t="s">
        <v>9</v>
      </c>
      <c r="D479" s="4" t="s">
        <v>52</v>
      </c>
      <c r="E479" s="4" t="s">
        <v>7</v>
      </c>
    </row>
    <row r="480" spans="1:5">
      <c r="A480" s="3" t="str">
        <f>HYPERLINK("https://www.foodcoach.me/recipe/sugar-free-strawberry-ricotta-gelatin/","Sugar Free Strawberry Ricotta Gelatin - Bariatric Soft Liquid Diet Recipe")</f>
        <v>Sugar Free Strawberry Ricotta Gelatin - Bariatric Soft Liquid Diet Recipe</v>
      </c>
      <c r="B480" s="4" t="s">
        <v>44</v>
      </c>
      <c r="C480" s="4" t="s">
        <v>9</v>
      </c>
      <c r="D480" s="4" t="s">
        <v>33</v>
      </c>
      <c r="E480" s="4" t="s">
        <v>7</v>
      </c>
    </row>
    <row r="481" spans="1:5">
      <c r="A481" s="3" t="str">
        <f>HYPERLINK("https://www.foodcoach.me/recipe/sugar-free-cucumber-mint-limeade/","Sugar-Free Cucumber &amp; Mint Limeade")</f>
        <v>Sugar-Free Cucumber &amp; Mint Limeade</v>
      </c>
      <c r="B481" s="4" t="s">
        <v>66</v>
      </c>
      <c r="C481" s="4" t="s">
        <v>9</v>
      </c>
      <c r="D481" s="4" t="s">
        <v>33</v>
      </c>
      <c r="E481" s="4" t="s">
        <v>7</v>
      </c>
    </row>
    <row r="482" spans="1:5">
      <c r="A482" s="3" t="str">
        <f>HYPERLINK("https://www.foodcoach.me/recipe/sun-dried-tomato-feta-chicken-bake/","Sun Dried Tomato &amp; Feta Chicken Bake")</f>
        <v>Sun Dried Tomato &amp; Feta Chicken Bake</v>
      </c>
      <c r="B482" s="4" t="s">
        <v>11</v>
      </c>
      <c r="C482" s="4" t="s">
        <v>12</v>
      </c>
      <c r="D482" s="4" t="s">
        <v>6</v>
      </c>
      <c r="E482" s="4" t="s">
        <v>7</v>
      </c>
    </row>
    <row r="483" spans="1:5">
      <c r="A483" s="3" t="str">
        <f>HYPERLINK("https://www.foodcoach.me/recipe/sun-dried-tomato-meatballs/","Sun Dried Tomato Meatballs")</f>
        <v>Sun Dried Tomato Meatballs</v>
      </c>
      <c r="B483" s="4" t="s">
        <v>30</v>
      </c>
      <c r="C483" s="4" t="s">
        <v>12</v>
      </c>
      <c r="D483" s="4" t="s">
        <v>6</v>
      </c>
      <c r="E483" s="4" t="s">
        <v>14</v>
      </c>
    </row>
    <row r="484" spans="1:5">
      <c r="A484" s="3" t="str">
        <f>HYPERLINK("https://www.foodcoach.me/recipe/sun-dried-tomato-baked-chicken/","Sun-Dried Tomato Baked Chicken")</f>
        <v>Sun-Dried Tomato Baked Chicken</v>
      </c>
      <c r="B484" s="4" t="s">
        <v>11</v>
      </c>
      <c r="C484" s="4" t="s">
        <v>12</v>
      </c>
      <c r="D484" s="4" t="s">
        <v>6</v>
      </c>
      <c r="E484" s="4" t="s">
        <v>14</v>
      </c>
    </row>
    <row r="485" spans="1:5">
      <c r="A485" s="3" t="str">
        <f>HYPERLINK("https://www.foodcoach.me/recipe/sun-dried-tomato-mini-meatloaf/","Sun-Dried Tomato Mini Meatloaf")</f>
        <v>Sun-Dried Tomato Mini Meatloaf</v>
      </c>
      <c r="B485" s="4" t="s">
        <v>13</v>
      </c>
      <c r="C485" s="4" t="s">
        <v>12</v>
      </c>
      <c r="D485" s="4" t="s">
        <v>6</v>
      </c>
      <c r="E485" s="4" t="s">
        <v>7</v>
      </c>
    </row>
    <row r="486" spans="1:5">
      <c r="A486" s="7" t="s">
        <v>126</v>
      </c>
      <c r="B486" s="6" t="s">
        <v>4</v>
      </c>
      <c r="C486" s="6" t="s">
        <v>47</v>
      </c>
      <c r="D486" s="6" t="s">
        <v>29</v>
      </c>
      <c r="E486" s="6" t="s">
        <v>7</v>
      </c>
    </row>
    <row r="487" spans="1:5">
      <c r="A487" s="3" t="str">
        <f>HYPERLINK("https://www.foodcoach.me/recipe/super-fast-chicken-stir-fry/","Super Fast Chicken Stir-Fry")</f>
        <v>Super Fast Chicken Stir-Fry</v>
      </c>
      <c r="B487" s="4" t="s">
        <v>11</v>
      </c>
      <c r="C487" s="4" t="s">
        <v>5</v>
      </c>
      <c r="D487" s="4" t="s">
        <v>6</v>
      </c>
      <c r="E487" s="4" t="s">
        <v>7</v>
      </c>
    </row>
    <row r="488" spans="1:5">
      <c r="A488" s="3" t="str">
        <f>HYPERLINK("https://www.foodcoach.me/recipe/sweet-smokey-steak-fajitas/","Sweet and Smokey Steak Fajitas")</f>
        <v>Sweet and Smokey Steak Fajitas</v>
      </c>
      <c r="B488" s="4" t="s">
        <v>30</v>
      </c>
      <c r="C488" s="4" t="s">
        <v>5</v>
      </c>
      <c r="D488" s="4" t="s">
        <v>6</v>
      </c>
      <c r="E488" s="4" t="s">
        <v>7</v>
      </c>
    </row>
    <row r="489" spans="1:5">
      <c r="A489" s="3" t="str">
        <f>HYPERLINK("https://www.foodcoach.me/recipe/sweet-baby-carrots/","Sweet Baby Carrots")</f>
        <v>Sweet Baby Carrots</v>
      </c>
      <c r="B489" s="4" t="s">
        <v>55</v>
      </c>
      <c r="C489" s="4" t="s">
        <v>56</v>
      </c>
      <c r="D489" s="4" t="s">
        <v>34</v>
      </c>
      <c r="E489" s="4" t="s">
        <v>14</v>
      </c>
    </row>
    <row r="490" spans="1:5">
      <c r="A490" s="3" t="str">
        <f>HYPERLINK("https://www.foodcoach.me/recipe/sweet-chipotle-turkey-chili/","Sweet Chipotle Turkey Chili")</f>
        <v>Sweet Chipotle Turkey Chili</v>
      </c>
      <c r="B490" s="4" t="s">
        <v>48</v>
      </c>
      <c r="C490" s="4" t="s">
        <v>5</v>
      </c>
      <c r="D490" s="4" t="s">
        <v>6</v>
      </c>
      <c r="E490" s="4" t="s">
        <v>14</v>
      </c>
    </row>
    <row r="491" spans="1:5">
      <c r="A491" s="3" t="str">
        <f>HYPERLINK("https://www.foodcoach.me/recipe/sweet-pepper-poppers/","Sweet Pepper Poppers")</f>
        <v>Sweet Pepper Poppers</v>
      </c>
      <c r="B491" s="4" t="s">
        <v>23</v>
      </c>
      <c r="C491" s="4" t="s">
        <v>12</v>
      </c>
      <c r="D491" s="4" t="s">
        <v>34</v>
      </c>
      <c r="E491" s="4" t="s">
        <v>7</v>
      </c>
    </row>
    <row r="492" spans="1:5">
      <c r="A492" s="3" t="str">
        <f>HYPERLINK("https://www.foodcoach.me/recipe/swiss-mushroom-bun-less-burger-wls-recipes/","Swiss Mushroom Bun-less Burger | WLS Recipes")</f>
        <v>Swiss Mushroom Bun-less Burger | WLS Recipes</v>
      </c>
      <c r="B492" s="4" t="s">
        <v>30</v>
      </c>
      <c r="C492" s="4" t="s">
        <v>5</v>
      </c>
      <c r="D492" s="4" t="s">
        <v>6</v>
      </c>
      <c r="E492" s="4" t="s">
        <v>7</v>
      </c>
    </row>
    <row r="493" spans="1:5">
      <c r="A493" s="9" t="s">
        <v>127</v>
      </c>
      <c r="B493" s="6" t="s">
        <v>30</v>
      </c>
      <c r="C493" s="6" t="s">
        <v>128</v>
      </c>
      <c r="D493" s="6" t="s">
        <v>29</v>
      </c>
      <c r="E493" s="6" t="s">
        <v>7</v>
      </c>
    </row>
    <row r="494" spans="1:5">
      <c r="A494" s="3" t="str">
        <f>HYPERLINK("https://www.foodcoach.me/recipe/tasty-tiny-steak-bites/","Tasty Tiny Steak Bites")</f>
        <v>Tasty Tiny Steak Bites</v>
      </c>
      <c r="B494" s="4" t="s">
        <v>4</v>
      </c>
      <c r="C494" s="4" t="s">
        <v>5</v>
      </c>
      <c r="D494" s="4" t="s">
        <v>6</v>
      </c>
      <c r="E494" s="4" t="s">
        <v>7</v>
      </c>
    </row>
    <row r="495" spans="1:5">
      <c r="A495" s="3" t="str">
        <f>HYPERLINK("https://www.foodcoach.me/recipe/tender-steak-tips-crockpot-wls-recipe/","Tender Steak Tips - Crockpot WLS Recipe")</f>
        <v>Tender Steak Tips - Crockpot WLS Recipe</v>
      </c>
      <c r="B495" s="4" t="s">
        <v>30</v>
      </c>
      <c r="C495" s="4" t="s">
        <v>50</v>
      </c>
      <c r="D495" s="4" t="s">
        <v>6</v>
      </c>
      <c r="E495" s="4" t="s">
        <v>7</v>
      </c>
    </row>
    <row r="496" spans="1:5">
      <c r="A496" s="3" t="str">
        <f>HYPERLINK("https://www.foodcoach.me/recipe/teriyaki-chicken-kebabs/","Teriyaki Chicken Kebabs - Bariatric Recipes")</f>
        <v>Teriyaki Chicken Kebabs - Bariatric Recipes</v>
      </c>
      <c r="B496" s="4" t="s">
        <v>11</v>
      </c>
      <c r="C496" s="4" t="s">
        <v>31</v>
      </c>
      <c r="D496" s="4" t="s">
        <v>6</v>
      </c>
      <c r="E496" s="4" t="s">
        <v>7</v>
      </c>
    </row>
    <row r="497" spans="1:5">
      <c r="A497" s="3" t="str">
        <f>HYPERLINK("https://www.foodcoach.me/recipe/teriyaki-meatloaf/","Teriyaki Meatloaf - Low Carb WLS Recipe")</f>
        <v>Teriyaki Meatloaf - Low Carb WLS Recipe</v>
      </c>
      <c r="B497" s="4" t="s">
        <v>4</v>
      </c>
      <c r="C497" s="4" t="s">
        <v>12</v>
      </c>
      <c r="D497" s="4" t="s">
        <v>6</v>
      </c>
      <c r="E497" s="4" t="s">
        <v>7</v>
      </c>
    </row>
    <row r="498" spans="1:5">
      <c r="A498" s="3" t="str">
        <f>HYPERLINK("https://www.foodcoach.me/recipe/tex-mex-meatloaf/","Tex Mex Meatloaf")</f>
        <v>Tex Mex Meatloaf</v>
      </c>
      <c r="B498" s="4" t="s">
        <v>30</v>
      </c>
      <c r="C498" s="4" t="s">
        <v>12</v>
      </c>
      <c r="D498" s="4" t="s">
        <v>6</v>
      </c>
      <c r="E498" s="4" t="s">
        <v>14</v>
      </c>
    </row>
    <row r="499" spans="1:5">
      <c r="A499" s="3" t="str">
        <f>HYPERLINK("https://www.foodcoach.me/recipe/tex-mex-crockpot-chicken-bariatric-recipe/","Tex Mex Slow Cooker Chicken")</f>
        <v>Tex Mex Slow Cooker Chicken</v>
      </c>
      <c r="B499" s="4" t="s">
        <v>11</v>
      </c>
      <c r="C499" s="4" t="s">
        <v>50</v>
      </c>
      <c r="D499" s="4" t="s">
        <v>6</v>
      </c>
      <c r="E499" s="4" t="s">
        <v>7</v>
      </c>
    </row>
    <row r="500" spans="1:5">
      <c r="A500" s="3" t="str">
        <f>HYPERLINK("https://www.foodcoach.me/recipe/tex-mex-beef-stew/","Tex-Mex Beef Stew - Bariatric Recipes")</f>
        <v>Tex-Mex Beef Stew - Bariatric Recipes</v>
      </c>
      <c r="B500" s="4" t="s">
        <v>4</v>
      </c>
      <c r="C500" s="4" t="s">
        <v>50</v>
      </c>
      <c r="D500" s="4" t="s">
        <v>6</v>
      </c>
      <c r="E500" s="4" t="s">
        <v>7</v>
      </c>
    </row>
    <row r="501" spans="1:5">
      <c r="A501" s="3" t="str">
        <f>HYPERLINK("https://www.foodcoach.me/recipe/tex-mex-burger-patties/","Tex-Mex Burger Patties - Low Carb WLS Recipe")</f>
        <v>Tex-Mex Burger Patties - Low Carb WLS Recipe</v>
      </c>
      <c r="B501" s="4" t="s">
        <v>4</v>
      </c>
      <c r="C501" s="4" t="s">
        <v>31</v>
      </c>
      <c r="D501" s="4" t="s">
        <v>6</v>
      </c>
      <c r="E501" s="4" t="s">
        <v>7</v>
      </c>
    </row>
    <row r="502" spans="1:5">
      <c r="A502" s="3" t="str">
        <f>HYPERLINK("https://www.foodcoach.me/recipe/tex-mex-stuffed-peppers/","Tex-Mex Stuffed Peppers")</f>
        <v>Tex-Mex Stuffed Peppers</v>
      </c>
      <c r="B502" s="4" t="s">
        <v>4</v>
      </c>
      <c r="C502" s="4" t="s">
        <v>111</v>
      </c>
      <c r="D502" s="4" t="s">
        <v>6</v>
      </c>
      <c r="E502" s="4" t="s">
        <v>14</v>
      </c>
    </row>
    <row r="503" spans="1:5">
      <c r="A503" s="3" t="str">
        <f>HYPERLINK("https://www.foodcoach.me/recipe/best-bbq-grilled-chicken-breasts/","The Best BBQ Grilled Chicken Breasts")</f>
        <v>The Best BBQ Grilled Chicken Breasts</v>
      </c>
      <c r="B503" s="4" t="s">
        <v>11</v>
      </c>
      <c r="C503" s="4" t="s">
        <v>31</v>
      </c>
      <c r="D503" s="4" t="s">
        <v>6</v>
      </c>
      <c r="E503" s="4" t="s">
        <v>7</v>
      </c>
    </row>
    <row r="504" spans="1:5">
      <c r="A504" s="3" t="str">
        <f>HYPERLINK("https://www.foodcoach.me/?s=Thin+Sliced+Grilled+Steaks","Thin Sliced Grilled Steaks")</f>
        <v>Thin Sliced Grilled Steaks</v>
      </c>
      <c r="B504" s="4" t="s">
        <v>30</v>
      </c>
      <c r="C504" s="4" t="s">
        <v>31</v>
      </c>
      <c r="D504" s="4" t="s">
        <v>6</v>
      </c>
      <c r="E504" s="4" t="s">
        <v>7</v>
      </c>
    </row>
    <row r="505" spans="1:5">
      <c r="A505" s="3" t="str">
        <f>HYPERLINK("https://www.foodcoach.me/recipe/tilapia-pineapple-salsa/","Tilapia with Pineapple Salsa")</f>
        <v>Tilapia with Pineapple Salsa</v>
      </c>
      <c r="B505" s="4" t="s">
        <v>21</v>
      </c>
      <c r="C505" s="4" t="s">
        <v>12</v>
      </c>
      <c r="D505" s="4" t="s">
        <v>6</v>
      </c>
      <c r="E505" s="4" t="s">
        <v>7</v>
      </c>
    </row>
    <row r="506" spans="1:5">
      <c r="A506" s="3" t="str">
        <f>HYPERLINK("https://www.foodcoach.me/recipe/tomatillo-huevos-rancheros/","Tomatillo Huevos Rancheros - WLS Recipes")</f>
        <v>Tomatillo Huevos Rancheros - WLS Recipes</v>
      </c>
      <c r="B506" s="4" t="s">
        <v>39</v>
      </c>
      <c r="C506" s="4" t="s">
        <v>5</v>
      </c>
      <c r="D506" s="4" t="s">
        <v>41</v>
      </c>
      <c r="E506" s="4" t="s">
        <v>7</v>
      </c>
    </row>
    <row r="507" spans="1:5">
      <c r="A507" s="3" t="str">
        <f>HYPERLINK("https://www.foodcoach.me/recipe/tomato-egg-scrambler/","Tomato &amp; Egg Scrambler")</f>
        <v>Tomato &amp; Egg Scrambler</v>
      </c>
      <c r="B507" s="4" t="s">
        <v>39</v>
      </c>
      <c r="C507" s="4" t="s">
        <v>5</v>
      </c>
      <c r="D507" s="4" t="s">
        <v>41</v>
      </c>
      <c r="E507" s="4" t="s">
        <v>7</v>
      </c>
    </row>
    <row r="508" spans="1:5">
      <c r="A508" s="3" t="str">
        <f>HYPERLINK("https://www.foodcoach.me/recipe/tomato-basil-artichoke-topped-chicken/","Tomato Basil Artichoke Topped Chicken")</f>
        <v>Tomato Basil Artichoke Topped Chicken</v>
      </c>
      <c r="B508" s="4" t="s">
        <v>11</v>
      </c>
      <c r="C508" s="4" t="s">
        <v>12</v>
      </c>
      <c r="D508" s="4" t="s">
        <v>6</v>
      </c>
      <c r="E508" s="4" t="s">
        <v>7</v>
      </c>
    </row>
    <row r="509" spans="1:5">
      <c r="A509" s="3" t="str">
        <f>HYPERLINK("https://www.foodcoach.me/recipe/tropical-shrimp-ceviche-bariatric-lunch-idea/","Tropical Shrimp Ceviche - Bariatric Lunch Idea")</f>
        <v>Tropical Shrimp Ceviche - Bariatric Lunch Idea</v>
      </c>
      <c r="B509" s="4" t="s">
        <v>21</v>
      </c>
      <c r="C509" s="4" t="s">
        <v>9</v>
      </c>
      <c r="D509" s="4" t="s">
        <v>6</v>
      </c>
      <c r="E509" s="4" t="s">
        <v>14</v>
      </c>
    </row>
    <row r="510" spans="1:5">
      <c r="A510" s="3" t="str">
        <f>HYPERLINK("https://www.foodcoach.me/recipe/tropical-tomato-salsa/","Tropical Tomato Salsa")</f>
        <v>Tropical Tomato Salsa</v>
      </c>
      <c r="B510" s="4" t="s">
        <v>55</v>
      </c>
      <c r="C510" s="4" t="s">
        <v>56</v>
      </c>
      <c r="D510" s="4" t="s">
        <v>34</v>
      </c>
      <c r="E510" s="4" t="s">
        <v>7</v>
      </c>
    </row>
    <row r="511" spans="1:5">
      <c r="A511" s="3" t="str">
        <f>HYPERLINK("https://www.foodcoach.me/recipe/tuna-salad-stuffed-tomatoes/","Tuna Salad Stuffed Tomatoes")</f>
        <v>Tuna Salad Stuffed Tomatoes</v>
      </c>
      <c r="B511" s="4" t="s">
        <v>43</v>
      </c>
      <c r="C511" s="4" t="s">
        <v>9</v>
      </c>
      <c r="D511" s="4" t="s">
        <v>6</v>
      </c>
      <c r="E511" s="4" t="s">
        <v>7</v>
      </c>
    </row>
    <row r="512" spans="1:5">
      <c r="A512" s="3" t="str">
        <f>HYPERLINK("https://www.foodcoach.me/recipe/turkey-bacon-chicken-pinwheels/","Turkey Bacon Chicken Pinwheels - WLS Recipe")</f>
        <v>Turkey Bacon Chicken Pinwheels - WLS Recipe</v>
      </c>
      <c r="B512" s="4" t="s">
        <v>11</v>
      </c>
      <c r="C512" s="4" t="s">
        <v>31</v>
      </c>
      <c r="D512" s="4" t="s">
        <v>6</v>
      </c>
      <c r="E512" s="4" t="s">
        <v>7</v>
      </c>
    </row>
    <row r="513" spans="1:5">
      <c r="A513" s="3" t="str">
        <f>HYPERLINK("https://www.foodcoach.me/recipe/turkey-bacon-spinach-artichoke-dip/","Turkey Bacon Spinach Artichoke Dip")</f>
        <v>Turkey Bacon Spinach Artichoke Dip</v>
      </c>
      <c r="B513" s="4" t="s">
        <v>23</v>
      </c>
      <c r="C513" s="4" t="s">
        <v>12</v>
      </c>
      <c r="D513" s="4" t="s">
        <v>6</v>
      </c>
      <c r="E513" s="4" t="s">
        <v>7</v>
      </c>
    </row>
    <row r="514" spans="1:5">
      <c r="A514" s="3" t="str">
        <f>HYPERLINK("https://www.foodcoach.me/recipe/turkey-bacon-stuffed-mushrooms/","Turkey Bacon Stuffed Mushrooms")</f>
        <v>Turkey Bacon Stuffed Mushrooms</v>
      </c>
      <c r="B514" s="4" t="s">
        <v>23</v>
      </c>
      <c r="C514" s="4" t="s">
        <v>12</v>
      </c>
      <c r="D514" s="4" t="s">
        <v>10</v>
      </c>
      <c r="E514" s="4" t="s">
        <v>7</v>
      </c>
    </row>
    <row r="515" spans="1:5">
      <c r="A515" s="3" t="str">
        <f>HYPERLINK("https://www.foodcoach.me/recipe/turkey-bacon-wrapped-pork-mango-salsa/","Turkey Bacon Wrapped Pork with Mango Salsa")</f>
        <v>Turkey Bacon Wrapped Pork with Mango Salsa</v>
      </c>
      <c r="B515" s="4" t="s">
        <v>27</v>
      </c>
      <c r="C515" s="4" t="s">
        <v>5</v>
      </c>
      <c r="D515" s="4" t="s">
        <v>6</v>
      </c>
      <c r="E515" s="4" t="s">
        <v>7</v>
      </c>
    </row>
    <row r="516" spans="1:5">
      <c r="A516" s="3" t="str">
        <f>HYPERLINK("https://www.foodcoach.me/recipe/turkey-bacon-onion-cheddar-stuffed-burgers/","Turkey Bacon, Onion &amp; Cheddar Stuffed Burgers")</f>
        <v>Turkey Bacon, Onion &amp; Cheddar Stuffed Burgers</v>
      </c>
      <c r="B516" s="4" t="s">
        <v>4</v>
      </c>
      <c r="C516" s="4" t="s">
        <v>31</v>
      </c>
      <c r="D516" s="4" t="s">
        <v>6</v>
      </c>
      <c r="E516" s="4" t="s">
        <v>14</v>
      </c>
    </row>
    <row r="517" spans="1:5">
      <c r="A517" s="8" t="s">
        <v>129</v>
      </c>
      <c r="B517" s="6"/>
      <c r="C517" s="6"/>
      <c r="D517" s="6" t="s">
        <v>29</v>
      </c>
      <c r="E517" s="6"/>
    </row>
    <row r="518" spans="1:5">
      <c r="A518" s="8" t="s">
        <v>130</v>
      </c>
      <c r="B518" s="6" t="s">
        <v>13</v>
      </c>
      <c r="C518" s="6" t="s">
        <v>121</v>
      </c>
      <c r="D518" s="6" t="s">
        <v>29</v>
      </c>
      <c r="E518" s="6" t="s">
        <v>7</v>
      </c>
    </row>
    <row r="519" spans="1:5">
      <c r="A519" s="3" t="str">
        <f>HYPERLINK("https://www.foodcoach.me/recipe/turkey-sausage-bell-pepper-egg-cups/","Turkey Sausage &amp; Bell Pepper Egg Cups")</f>
        <v>Turkey Sausage &amp; Bell Pepper Egg Cups</v>
      </c>
      <c r="B519" s="4" t="s">
        <v>39</v>
      </c>
      <c r="C519" s="4" t="s">
        <v>12</v>
      </c>
      <c r="D519" s="4" t="s">
        <v>41</v>
      </c>
      <c r="E519" s="4" t="s">
        <v>7</v>
      </c>
    </row>
    <row r="520" spans="1:5">
      <c r="A520" s="3" t="str">
        <f>HYPERLINK("https://www.foodcoach.me/recipe/turkey-sausage-mozzarella-meatloaf/","Turkey Sausage &amp; Mozzarella Meatloaf - Low Carb WLS Recipe")</f>
        <v>Turkey Sausage &amp; Mozzarella Meatloaf - Low Carb WLS Recipe</v>
      </c>
      <c r="B520" s="4" t="s">
        <v>13</v>
      </c>
      <c r="C520" s="4" t="s">
        <v>12</v>
      </c>
      <c r="D520" s="4" t="s">
        <v>6</v>
      </c>
      <c r="E520" s="4" t="s">
        <v>7</v>
      </c>
    </row>
    <row r="521" spans="1:5">
      <c r="A521" s="7" t="s">
        <v>131</v>
      </c>
      <c r="B521" s="6" t="s">
        <v>13</v>
      </c>
      <c r="C521" s="6" t="s">
        <v>31</v>
      </c>
      <c r="D521" s="6" t="s">
        <v>19</v>
      </c>
      <c r="E521" s="6" t="s">
        <v>14</v>
      </c>
    </row>
    <row r="522" spans="1:5">
      <c r="A522" s="3" t="str">
        <f>HYPERLINK("https://www.foodcoach.me/recipe/turkey-spinach-meatballs-2/","Turkey Spinach Meatballs")</f>
        <v>Turkey Spinach Meatballs</v>
      </c>
      <c r="B522" s="4" t="s">
        <v>13</v>
      </c>
      <c r="C522" s="4" t="s">
        <v>12</v>
      </c>
      <c r="D522" s="4" t="s">
        <v>6</v>
      </c>
      <c r="E522" s="4" t="s">
        <v>7</v>
      </c>
    </row>
    <row r="523" spans="1:5">
      <c r="A523" s="3" t="str">
        <f>HYPERLINK("https://www.foodcoach.me/recipe/turkey-taco-meatballs/","Turkey Taco Meatballs")</f>
        <v>Turkey Taco Meatballs</v>
      </c>
      <c r="B523" s="4" t="s">
        <v>13</v>
      </c>
      <c r="C523" s="4" t="s">
        <v>111</v>
      </c>
      <c r="D523" s="4" t="s">
        <v>6</v>
      </c>
      <c r="E523" s="4" t="s">
        <v>7</v>
      </c>
    </row>
    <row r="524" spans="1:5">
      <c r="A524" s="3" t="str">
        <f>HYPERLINK("https://www.foodcoach.me/recipe/turkey-taco-zucchini-boats/","Turkey Taco Zucchini Boats")</f>
        <v>Turkey Taco Zucchini Boats</v>
      </c>
      <c r="B524" s="4" t="s">
        <v>104</v>
      </c>
      <c r="C524" s="4" t="s">
        <v>12</v>
      </c>
      <c r="D524" s="4" t="s">
        <v>6</v>
      </c>
      <c r="E524" s="4" t="s">
        <v>14</v>
      </c>
    </row>
    <row r="525" spans="1:5">
      <c r="A525" s="3" t="str">
        <f>HYPERLINK("https://www.foodcoach.me/recipe/tuscan-chicken-skillet/","Tuscan Chicken Skillet - Bariatric Recipes")</f>
        <v>Tuscan Chicken Skillet - Bariatric Recipes</v>
      </c>
      <c r="B525" s="4" t="s">
        <v>11</v>
      </c>
      <c r="C525" s="4" t="s">
        <v>40</v>
      </c>
      <c r="D525" s="4" t="s">
        <v>6</v>
      </c>
      <c r="E525" s="4" t="s">
        <v>7</v>
      </c>
    </row>
    <row r="526" spans="1:5">
      <c r="A526" s="3" t="str">
        <f>HYPERLINK("https://www.foodcoach.me/recipe/tuscan-pork-chop-skillet/","Tuscan Pork Chop Skillet")</f>
        <v>Tuscan Pork Chop Skillet</v>
      </c>
      <c r="B526" s="4" t="s">
        <v>27</v>
      </c>
      <c r="C526" s="4" t="s">
        <v>5</v>
      </c>
      <c r="D526" s="4" t="s">
        <v>6</v>
      </c>
      <c r="E526" s="4" t="s">
        <v>14</v>
      </c>
    </row>
    <row r="527" spans="1:5">
      <c r="A527" s="7" t="s">
        <v>132</v>
      </c>
      <c r="B527" s="6" t="s">
        <v>4</v>
      </c>
      <c r="C527" s="6" t="s">
        <v>47</v>
      </c>
      <c r="D527" s="6" t="s">
        <v>29</v>
      </c>
      <c r="E527" s="6" t="s">
        <v>14</v>
      </c>
    </row>
    <row r="528" spans="1:5">
      <c r="A528" s="3" t="str">
        <f>HYPERLINK("https://www.foodcoach.me/recipe/tuscan-tuna-salad-bariatric-soft-recipe/","Tuscan Tuna Salad - Bariatric Soft Recipe")</f>
        <v>Tuscan Tuna Salad - Bariatric Soft Recipe</v>
      </c>
      <c r="B528" s="4" t="s">
        <v>21</v>
      </c>
      <c r="C528" s="4" t="s">
        <v>9</v>
      </c>
      <c r="D528" s="4" t="s">
        <v>6</v>
      </c>
      <c r="E528" s="4" t="s">
        <v>7</v>
      </c>
    </row>
    <row r="529" spans="1:5">
      <c r="A529" s="3" t="str">
        <f>HYPERLINK("https://www.foodcoach.me/recipe/unstuffed-cabbage-rolls/","Unstuffed Cabbage Rolls")</f>
        <v>Unstuffed Cabbage Rolls</v>
      </c>
      <c r="B529" s="4" t="s">
        <v>4</v>
      </c>
      <c r="C529" s="4" t="s">
        <v>5</v>
      </c>
      <c r="D529" s="4" t="s">
        <v>6</v>
      </c>
      <c r="E529" s="4" t="s">
        <v>7</v>
      </c>
    </row>
    <row r="530" spans="1:5">
      <c r="A530" s="3" t="str">
        <f>HYPERLINK("https://www.foodcoach.me/recipe/vanilla-spice-protein-shake/","Vanilla Spice Protein Shake")</f>
        <v>Vanilla Spice Protein Shake</v>
      </c>
      <c r="B530" s="4" t="s">
        <v>32</v>
      </c>
      <c r="C530" s="4" t="s">
        <v>9</v>
      </c>
      <c r="D530" s="4" t="s">
        <v>33</v>
      </c>
      <c r="E530" s="4" t="s">
        <v>14</v>
      </c>
    </row>
    <row r="531" spans="1:5">
      <c r="A531" s="3" t="str">
        <f>HYPERLINK("https://www.foodcoach.me/recipe/vanilla-strawberry-protein-shake/","Vanilla Strawberry Protein Shake")</f>
        <v>Vanilla Strawberry Protein Shake</v>
      </c>
      <c r="B531" s="4" t="s">
        <v>32</v>
      </c>
      <c r="C531" s="4" t="s">
        <v>9</v>
      </c>
      <c r="D531" s="4" t="s">
        <v>33</v>
      </c>
      <c r="E531" s="4" t="s">
        <v>7</v>
      </c>
    </row>
    <row r="532" spans="1:5">
      <c r="A532" s="3" t="str">
        <f>HYPERLINK("https://www.foodcoach.me/recipe/vegetable-ribbon-salad/","Vegetable Ribbon Salad")</f>
        <v>Vegetable Ribbon Salad</v>
      </c>
      <c r="B532" s="4" t="s">
        <v>55</v>
      </c>
      <c r="C532" s="4" t="s">
        <v>5</v>
      </c>
      <c r="D532" s="4" t="s">
        <v>34</v>
      </c>
      <c r="E532" s="4" t="s">
        <v>7</v>
      </c>
    </row>
    <row r="533" spans="1:5">
      <c r="A533" s="3" t="str">
        <f>HYPERLINK("https://www.foodcoach.me/recipe/veracruz-stove-top-chicken/","Veracruz Stove Top Chicken")</f>
        <v>Veracruz Stove Top Chicken</v>
      </c>
      <c r="B533" s="4" t="s">
        <v>48</v>
      </c>
      <c r="C533" s="4" t="s">
        <v>5</v>
      </c>
      <c r="D533" s="4" t="s">
        <v>6</v>
      </c>
      <c r="E533" s="4" t="s">
        <v>14</v>
      </c>
    </row>
    <row r="534" spans="1:5">
      <c r="A534" s="3" t="str">
        <f>HYPERLINK("https://www.foodcoach.me/recipe/video-cucumber-tomato-salad/","Video- Cucumber Tomato Salad")</f>
        <v>Video- Cucumber Tomato Salad</v>
      </c>
      <c r="B534" s="4" t="s">
        <v>23</v>
      </c>
      <c r="C534" s="4" t="s">
        <v>9</v>
      </c>
      <c r="D534" s="4" t="s">
        <v>34</v>
      </c>
      <c r="E534" s="4" t="s">
        <v>14</v>
      </c>
    </row>
    <row r="535" spans="1:5">
      <c r="A535" s="3" t="str">
        <f>HYPERLINK("https://www.foodcoach.me/recipe/walnut-chicken-with-basil-video/","Walnut Chicken and Basil Skillet *Video*")</f>
        <v>Walnut Chicken and Basil Skillet *Video*</v>
      </c>
      <c r="B535" s="4" t="s">
        <v>11</v>
      </c>
      <c r="C535" s="4" t="s">
        <v>5</v>
      </c>
      <c r="D535" s="4" t="s">
        <v>6</v>
      </c>
      <c r="E535" s="4" t="s">
        <v>14</v>
      </c>
    </row>
    <row r="536" spans="1:5">
      <c r="A536" s="3" t="str">
        <f>HYPERLINK("https://www.foodcoach.me/recipe/warm-tomato-relish-with-chicken-breast/","Warm Tomato Relish with Chicken Breast")</f>
        <v>Warm Tomato Relish with Chicken Breast</v>
      </c>
      <c r="B536" s="4" t="s">
        <v>11</v>
      </c>
      <c r="C536" s="4" t="s">
        <v>5</v>
      </c>
      <c r="D536" s="4" t="s">
        <v>6</v>
      </c>
      <c r="E536" s="4" t="s">
        <v>7</v>
      </c>
    </row>
    <row r="537" spans="1:5">
      <c r="A537" s="3" t="str">
        <f>HYPERLINK("https://www.foodcoach.me/recipe/weight-loss-surgery-friendly-steak-fajitas/","Weight-Loss Surgery Friendly Steak Fajitas")</f>
        <v>Weight-Loss Surgery Friendly Steak Fajitas</v>
      </c>
      <c r="B537" s="4" t="s">
        <v>4</v>
      </c>
      <c r="C537" s="4" t="s">
        <v>12</v>
      </c>
      <c r="D537" s="4" t="s">
        <v>6</v>
      </c>
      <c r="E537" s="4" t="s">
        <v>7</v>
      </c>
    </row>
    <row r="538" spans="1:5">
      <c r="A538" s="3" t="str">
        <f>HYPERLINK("https://www.foodcoach.me/recipe/white-chicken-chili/","White Chicken Chili")</f>
        <v>White Chicken Chili</v>
      </c>
      <c r="B538" s="4" t="s">
        <v>11</v>
      </c>
      <c r="C538" s="4" t="s">
        <v>5</v>
      </c>
      <c r="D538" s="4" t="s">
        <v>6</v>
      </c>
      <c r="E538" s="4" t="s">
        <v>7</v>
      </c>
    </row>
    <row r="539" spans="1:5">
      <c r="A539" s="3" t="str">
        <f>HYPERLINK("https://www.foodcoach.me/recipe/white-chocolate-protein-shake/","White Chocolate Protein Shake")</f>
        <v>White Chocolate Protein Shake</v>
      </c>
      <c r="B539" s="4" t="s">
        <v>32</v>
      </c>
      <c r="C539" s="4" t="s">
        <v>9</v>
      </c>
      <c r="D539" s="4" t="s">
        <v>33</v>
      </c>
      <c r="E539" s="4" t="s">
        <v>7</v>
      </c>
    </row>
    <row r="540" spans="1:5">
      <c r="A540" s="3" t="str">
        <f>HYPERLINK("https://www.foodcoach.me/recipe/white-enchilada-zucchini-boats/","White Enchilada Zucchini Boats")</f>
        <v>White Enchilada Zucchini Boats</v>
      </c>
      <c r="B540" s="4" t="s">
        <v>11</v>
      </c>
      <c r="C540" s="4" t="s">
        <v>12</v>
      </c>
      <c r="D540" s="4" t="s">
        <v>6</v>
      </c>
      <c r="E540" s="4" t="s">
        <v>14</v>
      </c>
    </row>
    <row r="541" spans="1:5">
      <c r="A541" s="3" t="str">
        <f>HYPERLINK("https://www.foodcoach.me/recipe/white-turkey-chili/","White Turkey Chili - WLS Recipes")</f>
        <v>White Turkey Chili - WLS Recipes</v>
      </c>
      <c r="B541" s="4" t="s">
        <v>13</v>
      </c>
      <c r="C541" s="4" t="s">
        <v>5</v>
      </c>
      <c r="D541" s="4" t="s">
        <v>6</v>
      </c>
      <c r="E541" s="4" t="s">
        <v>7</v>
      </c>
    </row>
    <row r="542" spans="1:5">
      <c r="A542" s="3" t="str">
        <f>HYPERLINK("https://www.foodcoach.me/recipe/wls-mini-hamburgers/","WLS Mini Hamburgers!")</f>
        <v>WLS Mini Hamburgers!</v>
      </c>
      <c r="B542" s="4" t="s">
        <v>4</v>
      </c>
      <c r="C542" s="4" t="s">
        <v>5</v>
      </c>
      <c r="D542" s="4" t="s">
        <v>6</v>
      </c>
      <c r="E542" s="4" t="s">
        <v>7</v>
      </c>
    </row>
    <row r="543" spans="1:5">
      <c r="A543" s="3" t="str">
        <f>HYPERLINK("https://www.foodcoach.me/recipe/zucchini-turkey-bacon-pasta-toss/","Zucchini &amp; Turkey Bacon ""Pasta"" Toss")</f>
        <v>Zucchini &amp; Turkey Bacon "Pasta" Toss</v>
      </c>
      <c r="B543" s="4" t="s">
        <v>13</v>
      </c>
      <c r="C543" s="4" t="s">
        <v>40</v>
      </c>
      <c r="D543" s="4" t="s">
        <v>6</v>
      </c>
      <c r="E543" s="4" t="s">
        <v>14</v>
      </c>
    </row>
    <row r="544" spans="1:5">
      <c r="A544" s="3" t="str">
        <f>HYPERLINK("https://www.foodcoach.me/recipe/zucchini-artichoke-bites/","Zucchini Artichoke Bites - Bariatric Snacks")</f>
        <v>Zucchini Artichoke Bites - Bariatric Snacks</v>
      </c>
      <c r="B544" s="4" t="s">
        <v>23</v>
      </c>
      <c r="C544" s="4" t="s">
        <v>9</v>
      </c>
      <c r="D544" s="4" t="s">
        <v>10</v>
      </c>
      <c r="E544" s="4" t="s">
        <v>7</v>
      </c>
    </row>
    <row r="545" spans="1:5">
      <c r="A545" s="3" t="str">
        <f>HYPERLINK("https://www.foodcoach.me/recipe/wls-cooking-video-zucchini-fritters/","Zucchini Fritters - WLS Cooking Video")</f>
        <v>Zucchini Fritters - WLS Cooking Video</v>
      </c>
      <c r="B545" s="4" t="s">
        <v>23</v>
      </c>
      <c r="C545" s="4" t="s">
        <v>5</v>
      </c>
      <c r="D545" s="4" t="s">
        <v>34</v>
      </c>
      <c r="E545" s="4" t="s">
        <v>14</v>
      </c>
    </row>
    <row r="546" spans="1:5">
      <c r="A546" s="3" t="str">
        <f>HYPERLINK("https://www.foodcoach.me/recipe/zucchini-lasagna/","Zucchini Lasagna - Bariatric Recipes")</f>
        <v>Zucchini Lasagna - Bariatric Recipes</v>
      </c>
      <c r="B546" s="4" t="s">
        <v>13</v>
      </c>
      <c r="C546" s="4" t="s">
        <v>12</v>
      </c>
      <c r="D546" s="4" t="s">
        <v>6</v>
      </c>
      <c r="E546" s="4" t="s">
        <v>14</v>
      </c>
    </row>
    <row r="547" spans="1:5">
      <c r="A547" s="3" t="str">
        <f>HYPERLINK("https://www.foodcoach.me/recipe/zucchini-pesto-pasta/","Zucchini Pesto Pasta")</f>
        <v>Zucchini Pesto Pasta</v>
      </c>
      <c r="B547" s="4" t="s">
        <v>23</v>
      </c>
      <c r="C547" s="4" t="s">
        <v>40</v>
      </c>
      <c r="D547" s="4" t="s">
        <v>34</v>
      </c>
      <c r="E547" s="4" t="s">
        <v>14</v>
      </c>
    </row>
    <row r="548" spans="1:5">
      <c r="A548" s="3" t="str">
        <f>HYPERLINK("https://www.foodcoach.me/?s=Zucchini+Pizza+Boats","Zucchini Pizza Boats")</f>
        <v>Zucchini Pizza Boats</v>
      </c>
      <c r="B548" s="4" t="s">
        <v>23</v>
      </c>
      <c r="C548" s="4" t="s">
        <v>12</v>
      </c>
      <c r="D548" s="4" t="s">
        <v>6</v>
      </c>
      <c r="E548" s="4" t="s">
        <v>14</v>
      </c>
    </row>
    <row r="549" spans="1:5">
      <c r="A549" s="3" t="str">
        <f>HYPERLINK("https://www.foodcoach.me/recipe/zucchini-pizza-rolls-bariatric-friendly-appetizer/","Zucchini Pizza Rolls - Bariatric Friendly Appetizer")</f>
        <v>Zucchini Pizza Rolls - Bariatric Friendly Appetizer</v>
      </c>
      <c r="B549" s="4" t="s">
        <v>55</v>
      </c>
      <c r="C549" s="4" t="s">
        <v>12</v>
      </c>
      <c r="D549" s="4" t="s">
        <v>10</v>
      </c>
      <c r="E549" s="4" t="s">
        <v>14</v>
      </c>
    </row>
    <row r="550" spans="1:5">
      <c r="A550" s="12" t="s">
        <v>133</v>
      </c>
      <c r="B550" s="4" t="s">
        <v>13</v>
      </c>
      <c r="C550" s="4" t="s">
        <v>31</v>
      </c>
      <c r="D550" s="4" t="s">
        <v>6</v>
      </c>
      <c r="E550" s="4" t="s">
        <v>7</v>
      </c>
    </row>
    <row r="551" spans="1:5">
      <c r="A551" s="3" t="str">
        <f>HYPERLINK("https://www.foodcoach.me/recipe/zucchini-pecan-herb-pesto/","Zucchini with Pecan Herb Pesto")</f>
        <v>Zucchini with Pecan Herb Pesto</v>
      </c>
      <c r="B551" s="4" t="s">
        <v>23</v>
      </c>
      <c r="C551" s="4" t="s">
        <v>5</v>
      </c>
      <c r="D551" s="4" t="s">
        <v>34</v>
      </c>
      <c r="E551" s="4" t="s">
        <v>14</v>
      </c>
    </row>
    <row r="552" spans="1:5">
      <c r="A552" s="8" t="s">
        <v>134</v>
      </c>
      <c r="B552" s="6" t="s">
        <v>4</v>
      </c>
      <c r="C552" s="6" t="s">
        <v>50</v>
      </c>
      <c r="D552" s="6" t="s">
        <v>29</v>
      </c>
      <c r="E552" s="6" t="s">
        <v>14</v>
      </c>
    </row>
    <row r="553" spans="1:5">
      <c r="A553" s="8" t="s">
        <v>135</v>
      </c>
      <c r="B553" s="6" t="s">
        <v>11</v>
      </c>
      <c r="C553" s="6" t="s">
        <v>50</v>
      </c>
      <c r="D553" s="6" t="s">
        <v>29</v>
      </c>
      <c r="E553" s="6" t="s">
        <v>7</v>
      </c>
    </row>
    <row r="554" spans="1:5">
      <c r="A554" s="8" t="s">
        <v>136</v>
      </c>
      <c r="B554" s="6" t="s">
        <v>13</v>
      </c>
      <c r="C554" s="6" t="s">
        <v>5</v>
      </c>
      <c r="D554" s="6" t="s">
        <v>29</v>
      </c>
      <c r="E554" s="6" t="s">
        <v>14</v>
      </c>
    </row>
    <row r="555" spans="1:5">
      <c r="A555" s="8" t="s">
        <v>137</v>
      </c>
      <c r="B555" s="6" t="s">
        <v>11</v>
      </c>
      <c r="C555" s="6" t="s">
        <v>50</v>
      </c>
      <c r="D555" s="6" t="s">
        <v>29</v>
      </c>
      <c r="E555" s="6" t="s">
        <v>7</v>
      </c>
    </row>
    <row r="556" spans="1:5">
      <c r="A556" s="8" t="s">
        <v>138</v>
      </c>
      <c r="B556" s="6" t="s">
        <v>66</v>
      </c>
      <c r="C556" s="6" t="s">
        <v>56</v>
      </c>
      <c r="D556" s="6" t="s">
        <v>33</v>
      </c>
      <c r="E556" s="6" t="s">
        <v>7</v>
      </c>
    </row>
    <row r="557" spans="1:5">
      <c r="A557" s="8" t="s">
        <v>139</v>
      </c>
      <c r="B557" s="6" t="s">
        <v>11</v>
      </c>
      <c r="C557" s="6" t="s">
        <v>50</v>
      </c>
      <c r="D557" s="6" t="s">
        <v>29</v>
      </c>
      <c r="E557" s="6" t="s">
        <v>14</v>
      </c>
    </row>
    <row r="558" spans="1:5">
      <c r="A558" s="8" t="s">
        <v>140</v>
      </c>
      <c r="B558" s="6" t="s">
        <v>4</v>
      </c>
      <c r="C558" s="6" t="s">
        <v>5</v>
      </c>
      <c r="D558" s="6" t="s">
        <v>29</v>
      </c>
      <c r="E558" s="6" t="s">
        <v>7</v>
      </c>
    </row>
    <row r="559" spans="1:5">
      <c r="A559" s="8" t="s">
        <v>141</v>
      </c>
      <c r="B559" s="6" t="s">
        <v>13</v>
      </c>
      <c r="C559" s="6" t="s">
        <v>40</v>
      </c>
      <c r="D559" s="6" t="s">
        <v>29</v>
      </c>
      <c r="E559" s="6" t="s">
        <v>14</v>
      </c>
    </row>
    <row r="560" spans="1:5">
      <c r="A560" s="8" t="s">
        <v>142</v>
      </c>
      <c r="B560" s="6" t="s">
        <v>4</v>
      </c>
      <c r="C560" s="6" t="s">
        <v>50</v>
      </c>
      <c r="D560" s="6" t="s">
        <v>29</v>
      </c>
      <c r="E560" s="6" t="s">
        <v>7</v>
      </c>
    </row>
    <row r="561" spans="1:5">
      <c r="A561" s="8" t="s">
        <v>143</v>
      </c>
      <c r="B561" s="6" t="s">
        <v>11</v>
      </c>
      <c r="C561" s="6" t="s">
        <v>56</v>
      </c>
      <c r="D561" s="6" t="s">
        <v>29</v>
      </c>
      <c r="E561" s="6" t="s">
        <v>7</v>
      </c>
    </row>
    <row r="562" spans="1:5">
      <c r="A562" s="8" t="s">
        <v>144</v>
      </c>
      <c r="B562" s="6" t="s">
        <v>11</v>
      </c>
      <c r="C562" s="6" t="s">
        <v>12</v>
      </c>
      <c r="D562" s="6" t="s">
        <v>29</v>
      </c>
      <c r="E562" s="6" t="s">
        <v>14</v>
      </c>
    </row>
    <row r="563" spans="1:5">
      <c r="A563" s="8" t="s">
        <v>145</v>
      </c>
      <c r="B563" s="6" t="s">
        <v>11</v>
      </c>
      <c r="C563" s="6" t="s">
        <v>12</v>
      </c>
      <c r="D563" s="6" t="s">
        <v>29</v>
      </c>
      <c r="E563" s="6" t="s">
        <v>7</v>
      </c>
    </row>
    <row r="564" spans="1:5">
      <c r="A564" s="8" t="s">
        <v>146</v>
      </c>
      <c r="B564" s="6" t="s">
        <v>4</v>
      </c>
      <c r="C564" s="6" t="s">
        <v>12</v>
      </c>
      <c r="D564" s="6" t="s">
        <v>29</v>
      </c>
      <c r="E564" s="6" t="s">
        <v>14</v>
      </c>
    </row>
    <row r="565" spans="1:5">
      <c r="A565" s="8" t="s">
        <v>147</v>
      </c>
      <c r="B565" s="6" t="s">
        <v>4</v>
      </c>
      <c r="C565" s="6" t="s">
        <v>31</v>
      </c>
      <c r="D565" s="6" t="s">
        <v>29</v>
      </c>
      <c r="E565" s="6" t="s">
        <v>7</v>
      </c>
    </row>
    <row r="566" spans="1:5">
      <c r="A566" s="8" t="s">
        <v>148</v>
      </c>
      <c r="B566" s="6" t="s">
        <v>11</v>
      </c>
      <c r="C566" s="6" t="s">
        <v>47</v>
      </c>
      <c r="D566" s="6" t="s">
        <v>29</v>
      </c>
      <c r="E566" s="6" t="s">
        <v>14</v>
      </c>
    </row>
    <row r="567" spans="1:5">
      <c r="A567" s="8" t="s">
        <v>149</v>
      </c>
      <c r="B567" s="6" t="s">
        <v>11</v>
      </c>
      <c r="C567" s="6" t="s">
        <v>31</v>
      </c>
      <c r="D567" s="6" t="s">
        <v>29</v>
      </c>
      <c r="E567" s="6" t="s">
        <v>7</v>
      </c>
    </row>
    <row r="568" spans="1:5">
      <c r="A568" s="8" t="s">
        <v>150</v>
      </c>
      <c r="B568" s="6" t="s">
        <v>11</v>
      </c>
      <c r="C568" s="6" t="s">
        <v>47</v>
      </c>
      <c r="D568" s="6" t="s">
        <v>29</v>
      </c>
      <c r="E568" s="6" t="s">
        <v>7</v>
      </c>
    </row>
    <row r="569" spans="1:5">
      <c r="A569" s="8" t="s">
        <v>151</v>
      </c>
      <c r="B569" s="6" t="s">
        <v>39</v>
      </c>
      <c r="C569" s="6" t="s">
        <v>5</v>
      </c>
      <c r="D569" s="6" t="s">
        <v>41</v>
      </c>
      <c r="E569" s="6" t="s">
        <v>14</v>
      </c>
    </row>
    <row r="570" spans="1:5">
      <c r="A570" s="8" t="s">
        <v>152</v>
      </c>
      <c r="B570" s="6" t="s">
        <v>27</v>
      </c>
      <c r="C570" s="6" t="s">
        <v>5</v>
      </c>
      <c r="D570" s="6" t="s">
        <v>29</v>
      </c>
      <c r="E570" s="6" t="s">
        <v>153</v>
      </c>
    </row>
    <row r="571" spans="1:5">
      <c r="A571" s="8" t="s">
        <v>49</v>
      </c>
      <c r="B571" s="6" t="s">
        <v>11</v>
      </c>
      <c r="C571" s="6" t="s">
        <v>31</v>
      </c>
      <c r="D571" s="6" t="s">
        <v>29</v>
      </c>
      <c r="E571" s="6" t="s">
        <v>14</v>
      </c>
    </row>
    <row r="572" spans="1:5">
      <c r="A572" s="8" t="s">
        <v>154</v>
      </c>
      <c r="B572" s="6" t="s">
        <v>4</v>
      </c>
      <c r="C572" s="6" t="s">
        <v>5</v>
      </c>
      <c r="D572" s="6" t="s">
        <v>155</v>
      </c>
      <c r="E572" s="6" t="s">
        <v>153</v>
      </c>
    </row>
    <row r="573" spans="1:5">
      <c r="A573" s="8" t="s">
        <v>156</v>
      </c>
      <c r="B573" s="6" t="s">
        <v>13</v>
      </c>
      <c r="C573" s="6" t="s">
        <v>12</v>
      </c>
      <c r="D573" s="6" t="s">
        <v>29</v>
      </c>
      <c r="E573" s="6" t="s">
        <v>157</v>
      </c>
    </row>
    <row r="574" spans="1:5">
      <c r="A574" s="8" t="s">
        <v>158</v>
      </c>
      <c r="B574" s="6" t="s">
        <v>4</v>
      </c>
      <c r="C574" s="6" t="s">
        <v>47</v>
      </c>
      <c r="D574" s="6" t="s">
        <v>29</v>
      </c>
      <c r="E574" s="6" t="s">
        <v>153</v>
      </c>
    </row>
  </sheetData>
  <hyperlinks>
    <hyperlink ref="A17" r:id="rId1" xr:uid="{479E4F51-2840-1F43-A73D-1AD267E4A88C}"/>
    <hyperlink ref="A57" r:id="rId2" xr:uid="{817908CA-7D6A-EB47-9509-34F7996DA634}"/>
    <hyperlink ref="A64" location="Recipe Master List!A1" display="BLT Deviled Eggs - Bariatric Recipe" xr:uid="{8D161DFD-5B51-894C-A51F-C6F27ED40DF9}"/>
    <hyperlink ref="A88" r:id="rId3" xr:uid="{3B2C76C5-1C37-E449-A41B-57C580377FA5}"/>
    <hyperlink ref="A225" r:id="rId4" xr:uid="{B53EEFC2-EE40-BF45-843A-A756A1BB17F0}"/>
    <hyperlink ref="A287" r:id="rId5" xr:uid="{F64AAD8E-4968-4640-BD96-FD28743157A6}"/>
    <hyperlink ref="A58" r:id="rId6" xr:uid="{C67D4BD0-A0BA-D140-BCC1-FB651692B75D}"/>
    <hyperlink ref="A121" r:id="rId7" xr:uid="{D5B080A7-9149-964A-BEFC-9657DF6FA1EA}"/>
    <hyperlink ref="A199" r:id="rId8" xr:uid="{DC065A99-675A-AF45-9333-A7EE8F18FF8F}"/>
    <hyperlink ref="A236" r:id="rId9" xr:uid="{0FC962AC-5C25-4A4F-9097-F1B6D8B0680F}"/>
    <hyperlink ref="A255" r:id="rId10" xr:uid="{6BD7758B-7C7B-7746-84ED-FF3B4791A454}"/>
    <hyperlink ref="A260" r:id="rId11" xr:uid="{F81D4F1C-5AC8-604D-934F-A2F830D783CE}"/>
    <hyperlink ref="A315" r:id="rId12" xr:uid="{53C82DEE-57C9-9F4D-836E-A7EF92922254}"/>
    <hyperlink ref="A393" r:id="rId13" xr:uid="{0636DAC8-FF46-204E-B9F7-BEBC167C35FF}"/>
    <hyperlink ref="A11" r:id="rId14" xr:uid="{490546C8-0576-2448-98CA-157185620B31}"/>
    <hyperlink ref="A6" r:id="rId15" xr:uid="{352EC495-6BB7-B54B-B212-FAA5D816BCA8}"/>
    <hyperlink ref="A16" r:id="rId16" xr:uid="{79090D7C-E53B-B84F-B5A1-3371F5C66E34}"/>
    <hyperlink ref="A18" r:id="rId17" xr:uid="{96E49FD0-B191-E444-A78E-47469FD8EE76}"/>
    <hyperlink ref="A38" r:id="rId18" xr:uid="{3475F464-3E1E-684C-9713-B1019D6C9FB2}"/>
    <hyperlink ref="A140" r:id="rId19" xr:uid="{344CCF52-682D-6E46-912A-4DFB20B6616C}"/>
    <hyperlink ref="A151" r:id="rId20" xr:uid="{3812B6EA-C991-B94A-9201-AC0F50CD2A2A}"/>
    <hyperlink ref="A237" r:id="rId21" xr:uid="{CC5D45C6-F80D-7240-96AA-E3B20E526E7B}"/>
    <hyperlink ref="A259" r:id="rId22" xr:uid="{6BEC4292-66F8-6540-A34D-8DCC6C58AB6E}"/>
    <hyperlink ref="A261" r:id="rId23" xr:uid="{38D71A34-F657-C842-B651-7F2C87267F59}"/>
    <hyperlink ref="A264" r:id="rId24" xr:uid="{1111FFDD-3BF3-6F4C-87AD-120EDC2693E1}"/>
    <hyperlink ref="A265" r:id="rId25" xr:uid="{A68E746B-3BDD-E54F-83B9-A3E68E800805}"/>
    <hyperlink ref="A267" r:id="rId26" xr:uid="{AE09CCAF-9217-4849-8759-FA48299EFF76}"/>
    <hyperlink ref="A268" r:id="rId27" xr:uid="{6B01D130-704B-8B40-8A08-59C369070D31}"/>
    <hyperlink ref="A271" r:id="rId28" xr:uid="{DE5387F6-A44B-D94A-B5EE-3243C814C0C8}"/>
    <hyperlink ref="A272" r:id="rId29" xr:uid="{B074D8AC-AAE9-664E-8690-38756C797539}"/>
    <hyperlink ref="A279" r:id="rId30" xr:uid="{D7915B06-0504-484F-8D2F-ED98C7DCAE46}"/>
    <hyperlink ref="A301" r:id="rId31" xr:uid="{2E8EAEFD-4135-8041-AC86-1280F38C6A58}"/>
    <hyperlink ref="A421" r:id="rId32" xr:uid="{31B7A245-33D8-DD4C-B1EA-C495786596DF}"/>
    <hyperlink ref="A486" r:id="rId33" xr:uid="{0D9F2ACB-C0A0-0B4C-950B-86D9F703B093}"/>
    <hyperlink ref="A493" r:id="rId34" xr:uid="{320D950F-19A5-AB40-BC93-0E38F4902227}"/>
    <hyperlink ref="A527" r:id="rId35" xr:uid="{DFBB465F-29E2-074D-8629-51EE0C941CE4}"/>
    <hyperlink ref="A550" r:id="rId36" xr:uid="{0BAA904E-3876-BA41-A5AE-13395180763C}"/>
    <hyperlink ref="A333" r:id="rId37" xr:uid="{049FA427-74D8-CB4F-9CE9-2D426C1E4F20}"/>
    <hyperlink ref="A248" r:id="rId38" xr:uid="{B43ADD41-4162-C541-BC69-10E41AE51CFD}"/>
    <hyperlink ref="A7" r:id="rId39" xr:uid="{A477DE51-7905-AC42-95E3-6CAB92EBB0CF}"/>
    <hyperlink ref="A8" r:id="rId40" xr:uid="{DF9E55C0-8AF0-A744-88C7-2F15A69F05A2}"/>
    <hyperlink ref="A521" r:id="rId41" xr:uid="{C614E818-6D62-D645-B89A-B4FF0360F676}"/>
    <hyperlink ref="A133" r:id="rId42" xr:uid="{66EA839E-2206-8A42-AFD5-245C6056B5C0}"/>
    <hyperlink ref="A269" r:id="rId43" xr:uid="{F6309CD6-7157-B74E-884F-4020935FB358}"/>
    <hyperlink ref="A263" r:id="rId44" xr:uid="{D96C1067-6DBE-DE4C-BF6B-B70999364158}"/>
    <hyperlink ref="A423" r:id="rId45" xr:uid="{B3088691-839F-AF46-8CA8-BBBFA01D9B70}"/>
    <hyperlink ref="A477" r:id="rId46" xr:uid="{7557CB03-E141-E146-9C05-B00DF8E328AE}"/>
    <hyperlink ref="A203" r:id="rId47" xr:uid="{DE56FBB1-2012-3E4C-A4C4-E0049FD14933}"/>
    <hyperlink ref="A517" r:id="rId48" xr:uid="{A311FBAC-676D-4241-9036-3FEE25CAFC2B}"/>
    <hyperlink ref="A131" r:id="rId49" xr:uid="{C8E30834-2D9A-854E-8693-13645C07363F}"/>
    <hyperlink ref="A518" r:id="rId50" xr:uid="{77FF81D0-4652-C148-A97B-3F1C0472FEA3}"/>
    <hyperlink ref="A9" r:id="rId51" xr:uid="{ADD50B51-4BCC-BA44-A0C7-82877A63D188}"/>
    <hyperlink ref="A10" r:id="rId52" xr:uid="{DB2F33A3-65B2-624A-8C36-2513B2F3EBFB}"/>
    <hyperlink ref="A252" r:id="rId53" xr:uid="{4B5D7582-EC9D-7048-907D-F6B8CEF31BC5}"/>
    <hyperlink ref="A435" r:id="rId54" xr:uid="{FB0D4F22-4A0C-0C4B-B6A3-28DD16881303}"/>
    <hyperlink ref="A371" r:id="rId55" xr:uid="{1591EE9D-67AA-B243-A89B-55F0C3D788EA}"/>
    <hyperlink ref="A231" r:id="rId56" xr:uid="{5CB8FEF7-4CE9-484A-8ED4-0AAA955F5519}"/>
    <hyperlink ref="A27" r:id="rId57" xr:uid="{9D89394A-A1D2-4146-AD68-24089FABCF94}"/>
    <hyperlink ref="A439" r:id="rId58" xr:uid="{297B3495-0668-5C4C-B2E8-D5A654E3900C}"/>
    <hyperlink ref="A417" r:id="rId59" xr:uid="{F1EB20A2-9901-2445-BEDB-908D62FD8A57}"/>
    <hyperlink ref="A41" r:id="rId60" xr:uid="{ADCD73E1-2F5E-3E4C-BEB5-27B8B44375C2}"/>
    <hyperlink ref="A262" r:id="rId61" xr:uid="{CEB09B54-24EA-4F4E-8393-7D277B25F9C5}"/>
    <hyperlink ref="A552" r:id="rId62" xr:uid="{F8D7A57F-6ADC-464D-B363-EDEAAE60E964}"/>
    <hyperlink ref="A553" r:id="rId63" xr:uid="{E07AF245-E7C3-A541-AB78-6946A1486752}"/>
    <hyperlink ref="A554" r:id="rId64" xr:uid="{9BD14715-855F-1F45-95EE-A69219DD45E4}"/>
    <hyperlink ref="A555" r:id="rId65" xr:uid="{C0165F81-EE9B-1F42-8B47-2C8E3F1C7110}"/>
    <hyperlink ref="A556" r:id="rId66" xr:uid="{5540F469-0257-A040-AA21-3F9E66FE24C9}"/>
    <hyperlink ref="A557" r:id="rId67" xr:uid="{01DD3728-F29F-5E4E-9A89-C1182D18D9C2}"/>
    <hyperlink ref="A558" r:id="rId68" xr:uid="{14B46E1F-933E-044B-BD29-3F84A315EAE5}"/>
    <hyperlink ref="A559" r:id="rId69" xr:uid="{4D053B94-115B-BE4D-A27D-E6EC4364F61A}"/>
    <hyperlink ref="A560" r:id="rId70" xr:uid="{5E5DEB8B-B486-8E4A-B7E2-29C287BCCB5A}"/>
    <hyperlink ref="A561" r:id="rId71" xr:uid="{F242348D-B57E-DD4E-93B9-3E3C8F7AF4B3}"/>
    <hyperlink ref="A572" r:id="rId72" xr:uid="{1EAAA736-E535-1545-9B9F-886BD344414C}"/>
    <hyperlink ref="A573" r:id="rId73" xr:uid="{3B1C9A6D-5BB4-4E45-9A8C-44641823ACA5}"/>
    <hyperlink ref="A574" r:id="rId74" xr:uid="{721B2F82-A4F0-6245-964F-4555F3AB8E2B}"/>
    <hyperlink ref="A570" r:id="rId75" xr:uid="{F72309D4-EA94-6E48-A4E1-F5249AD5357A}"/>
    <hyperlink ref="A562" r:id="rId76" xr:uid="{3AE46DEC-8732-7D44-B861-3370EC368D00}"/>
    <hyperlink ref="A563" r:id="rId77" xr:uid="{A94EEF39-C93E-C44D-960C-D03F885B8A5C}"/>
    <hyperlink ref="A564" r:id="rId78" xr:uid="{749D60FA-F81A-3941-95DF-982CA574DDD7}"/>
    <hyperlink ref="A565" r:id="rId79" xr:uid="{E3F3467C-6330-2245-85FB-A6F82E985E76}"/>
    <hyperlink ref="A566" r:id="rId80" xr:uid="{63D44F14-6706-AA4B-A06C-5ED6F4D776ED}"/>
    <hyperlink ref="A567" r:id="rId81" xr:uid="{9604B89F-32E3-FA40-B7B8-A23552DB6D7E}"/>
    <hyperlink ref="A568" r:id="rId82" xr:uid="{AF883BA1-3D19-8B48-9C4C-66D4FE51EFF5}"/>
    <hyperlink ref="A569" r:id="rId83" xr:uid="{C0AF5F59-A6BF-934D-95D4-3100E78510EE}"/>
    <hyperlink ref="A571" r:id="rId84" xr:uid="{458F5A36-131E-FE4B-9814-2E6B193E8F3B}"/>
  </hyperlinks>
  <pageMargins left="0.7" right="0.7" top="0.75" bottom="0.75" header="0.3" footer="0.3"/>
  <legacyDrawing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2020-12-14T18:30:57Z</dcterms:created>
  <dcterms:modified xsi:type="dcterms:W3CDTF">2020-12-14T18:39:36Z</dcterms:modified>
</cp:coreProperties>
</file>